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09.06.25 уточ Валуйки и Прохор" sheetId="2" r:id="rId1"/>
  </sheets>
  <definedNames>
    <definedName name="_xlnm.Print_Titles" localSheetId="0">'09.06.25 уточ Валуйки и Прохор'!$5:$8</definedName>
    <definedName name="_xlnm.Print_Area" localSheetId="0">'09.06.25 уточ Валуйки и Прохор'!$A$1:$V$283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93" i="2"/>
  <c r="K193"/>
  <c r="J193"/>
  <c r="H193"/>
  <c r="L206"/>
  <c r="K206"/>
  <c r="J206"/>
  <c r="K205"/>
  <c r="J205"/>
  <c r="O228"/>
  <c r="P249"/>
  <c r="O249"/>
  <c r="M249"/>
  <c r="Q250"/>
  <c r="Q249" s="1"/>
  <c r="P242"/>
  <c r="Q242" s="1"/>
  <c r="M228"/>
  <c r="P248"/>
  <c r="Q248" s="1"/>
  <c r="P247"/>
  <c r="Q247" s="1"/>
  <c r="P246"/>
  <c r="Q246" s="1"/>
  <c r="P245"/>
  <c r="Q245" s="1"/>
  <c r="Q228" s="1"/>
  <c r="P244"/>
  <c r="Q244" s="1"/>
  <c r="P243"/>
  <c r="Q243" s="1"/>
  <c r="P241"/>
  <c r="Q241" s="1"/>
  <c r="P240"/>
  <c r="Q240" s="1"/>
  <c r="P239"/>
  <c r="Q239" s="1"/>
  <c r="P238"/>
  <c r="Q238" s="1"/>
  <c r="P131"/>
  <c r="O131"/>
  <c r="M131"/>
  <c r="Q132"/>
  <c r="Q131" s="1"/>
  <c r="Q87"/>
  <c r="P87"/>
  <c r="O87"/>
  <c r="M87"/>
  <c r="Q93"/>
  <c r="L92"/>
  <c r="K15"/>
  <c r="K16"/>
  <c r="J16"/>
  <c r="J15" s="1"/>
  <c r="H16"/>
  <c r="H15" s="1"/>
  <c r="L28"/>
  <c r="L16" s="1"/>
  <c r="L15" s="1"/>
  <c r="P65"/>
  <c r="O65"/>
  <c r="M65"/>
  <c r="Q86"/>
  <c r="Q85"/>
  <c r="Q84"/>
  <c r="Q83"/>
  <c r="Q82"/>
  <c r="Q81"/>
  <c r="Q64"/>
  <c r="Q63"/>
  <c r="Q62"/>
  <c r="Q61"/>
  <c r="Q60"/>
  <c r="Q59"/>
  <c r="Q58"/>
  <c r="Q57"/>
  <c r="Q56"/>
  <c r="Q55"/>
  <c r="Q54"/>
  <c r="Q53"/>
  <c r="Q52"/>
  <c r="Q51"/>
  <c r="P30"/>
  <c r="P29" s="1"/>
  <c r="O30"/>
  <c r="O29" s="1"/>
  <c r="M30"/>
  <c r="M29" s="1"/>
  <c r="W49"/>
  <c r="W48"/>
  <c r="W47"/>
  <c r="W46"/>
  <c r="W45"/>
  <c r="W42"/>
  <c r="W41"/>
  <c r="W40"/>
  <c r="W39"/>
  <c r="W38"/>
  <c r="W37"/>
  <c r="W36"/>
  <c r="W35"/>
  <c r="W34"/>
  <c r="W51"/>
  <c r="K75"/>
  <c r="K37"/>
  <c r="J65"/>
  <c r="H65"/>
  <c r="L80"/>
  <c r="K79"/>
  <c r="L79" s="1"/>
  <c r="K78"/>
  <c r="L78" s="1"/>
  <c r="L77"/>
  <c r="L76"/>
  <c r="K76"/>
  <c r="Q65" l="1"/>
  <c r="Q30"/>
  <c r="P228"/>
  <c r="K51"/>
  <c r="L51" s="1"/>
  <c r="K50"/>
  <c r="L50" s="1"/>
  <c r="L49"/>
  <c r="K49"/>
  <c r="L48"/>
  <c r="K48"/>
  <c r="L47"/>
  <c r="K47"/>
  <c r="K46"/>
  <c r="L46" s="1"/>
  <c r="K45"/>
  <c r="L45" s="1"/>
  <c r="L43"/>
  <c r="K43"/>
  <c r="K42"/>
  <c r="L42" s="1"/>
  <c r="K41"/>
  <c r="L41" s="1"/>
  <c r="L40"/>
  <c r="K40"/>
  <c r="J44"/>
  <c r="W44" s="1"/>
  <c r="H50"/>
  <c r="W50" s="1"/>
  <c r="H43"/>
  <c r="W43" s="1"/>
  <c r="K278"/>
  <c r="K261" s="1"/>
  <c r="J278"/>
  <c r="J101"/>
  <c r="J99"/>
  <c r="N261"/>
  <c r="N11" s="1"/>
  <c r="L37"/>
  <c r="K39"/>
  <c r="L39" s="1"/>
  <c r="P261"/>
  <c r="O261"/>
  <c r="Q279"/>
  <c r="Q261" s="1"/>
  <c r="I261"/>
  <c r="H261"/>
  <c r="L277"/>
  <c r="K227"/>
  <c r="K220" s="1"/>
  <c r="J227"/>
  <c r="J220" s="1"/>
  <c r="L205"/>
  <c r="L173"/>
  <c r="L172"/>
  <c r="L171"/>
  <c r="L178"/>
  <c r="L177"/>
  <c r="L176"/>
  <c r="L175"/>
  <c r="W121"/>
  <c r="P120"/>
  <c r="O120"/>
  <c r="M120"/>
  <c r="Q121"/>
  <c r="Q120" s="1"/>
  <c r="X279"/>
  <c r="F276"/>
  <c r="G276" s="1"/>
  <c r="F275"/>
  <c r="G275" s="1"/>
  <c r="F274"/>
  <c r="G274" s="1"/>
  <c r="F273"/>
  <c r="G273" s="1"/>
  <c r="F272"/>
  <c r="G272" s="1"/>
  <c r="F271"/>
  <c r="G271" s="1"/>
  <c r="F270"/>
  <c r="G270" s="1"/>
  <c r="F269"/>
  <c r="G269" s="1"/>
  <c r="F268"/>
  <c r="G268" s="1"/>
  <c r="F267"/>
  <c r="G267" s="1"/>
  <c r="F266"/>
  <c r="G266" s="1"/>
  <c r="G265"/>
  <c r="F264"/>
  <c r="W264" s="1"/>
  <c r="E264"/>
  <c r="C264"/>
  <c r="G263"/>
  <c r="G262" s="1"/>
  <c r="F262"/>
  <c r="E262"/>
  <c r="C262"/>
  <c r="V261"/>
  <c r="U261"/>
  <c r="T261"/>
  <c r="R261"/>
  <c r="G260"/>
  <c r="F259"/>
  <c r="G259" s="1"/>
  <c r="E259"/>
  <c r="G258"/>
  <c r="G257"/>
  <c r="G256"/>
  <c r="G255"/>
  <c r="G254"/>
  <c r="C254"/>
  <c r="C251" s="1"/>
  <c r="U253"/>
  <c r="U251" s="1"/>
  <c r="G253"/>
  <c r="G252"/>
  <c r="V251"/>
  <c r="T251"/>
  <c r="R251"/>
  <c r="E251"/>
  <c r="F237"/>
  <c r="G237" s="1"/>
  <c r="F236"/>
  <c r="G236" s="1"/>
  <c r="F235"/>
  <c r="G235" s="1"/>
  <c r="F234"/>
  <c r="G234" s="1"/>
  <c r="F233"/>
  <c r="G233" s="1"/>
  <c r="F232"/>
  <c r="G232" s="1"/>
  <c r="F231"/>
  <c r="G231" s="1"/>
  <c r="F230"/>
  <c r="G230" s="1"/>
  <c r="F229"/>
  <c r="G229" s="1"/>
  <c r="E228"/>
  <c r="C228"/>
  <c r="L225"/>
  <c r="H225"/>
  <c r="H220" s="1"/>
  <c r="F223"/>
  <c r="G222"/>
  <c r="G221"/>
  <c r="V220"/>
  <c r="U220"/>
  <c r="T220"/>
  <c r="R220"/>
  <c r="E220"/>
  <c r="C220"/>
  <c r="P216"/>
  <c r="Q216" s="1"/>
  <c r="P215"/>
  <c r="Q215" s="1"/>
  <c r="P214"/>
  <c r="Q214" s="1"/>
  <c r="P213"/>
  <c r="Q213" s="1"/>
  <c r="O212"/>
  <c r="O207" s="1"/>
  <c r="P211"/>
  <c r="Q211" s="1"/>
  <c r="P210"/>
  <c r="Q210" s="1"/>
  <c r="P209"/>
  <c r="Q209" s="1"/>
  <c r="U208"/>
  <c r="U207" s="1"/>
  <c r="T207"/>
  <c r="R207"/>
  <c r="M207"/>
  <c r="G207"/>
  <c r="F207"/>
  <c r="E207"/>
  <c r="C207"/>
  <c r="G204"/>
  <c r="F203"/>
  <c r="G203" s="1"/>
  <c r="F202"/>
  <c r="G202" s="1"/>
  <c r="F201"/>
  <c r="G201" s="1"/>
  <c r="F200"/>
  <c r="G200" s="1"/>
  <c r="F199"/>
  <c r="G199" s="1"/>
  <c r="F198"/>
  <c r="G198" s="1"/>
  <c r="F197"/>
  <c r="G197" s="1"/>
  <c r="F196"/>
  <c r="G196" s="1"/>
  <c r="F195"/>
  <c r="G195" s="1"/>
  <c r="W194"/>
  <c r="U194"/>
  <c r="V194" s="1"/>
  <c r="V193" s="1"/>
  <c r="R194"/>
  <c r="R193" s="1"/>
  <c r="F194"/>
  <c r="G194" s="1"/>
  <c r="W193"/>
  <c r="T193"/>
  <c r="E193"/>
  <c r="C193"/>
  <c r="U191"/>
  <c r="U190" s="1"/>
  <c r="T190"/>
  <c r="S190"/>
  <c r="S11" s="1"/>
  <c r="R190"/>
  <c r="G190"/>
  <c r="F190"/>
  <c r="E190"/>
  <c r="D190"/>
  <c r="C190"/>
  <c r="Q189"/>
  <c r="Q187"/>
  <c r="Q186"/>
  <c r="Q185"/>
  <c r="Q184"/>
  <c r="G183"/>
  <c r="E183" s="1"/>
  <c r="E182"/>
  <c r="G181"/>
  <c r="F181"/>
  <c r="U180"/>
  <c r="U179" s="1"/>
  <c r="C180"/>
  <c r="C179" s="1"/>
  <c r="T179"/>
  <c r="R179"/>
  <c r="P179"/>
  <c r="O179"/>
  <c r="M179"/>
  <c r="L170"/>
  <c r="L169"/>
  <c r="L168"/>
  <c r="L167"/>
  <c r="L166"/>
  <c r="L165"/>
  <c r="L164"/>
  <c r="L163"/>
  <c r="L162"/>
  <c r="L161"/>
  <c r="G161"/>
  <c r="L160"/>
  <c r="L159"/>
  <c r="L158"/>
  <c r="L157"/>
  <c r="L156"/>
  <c r="G155"/>
  <c r="V153"/>
  <c r="U153"/>
  <c r="T153"/>
  <c r="R153"/>
  <c r="J153"/>
  <c r="J154" s="1"/>
  <c r="H153"/>
  <c r="H154" s="1"/>
  <c r="F153"/>
  <c r="F154" s="1"/>
  <c r="E153"/>
  <c r="E154" s="1"/>
  <c r="C153"/>
  <c r="C154" s="1"/>
  <c r="P152"/>
  <c r="Q152" s="1"/>
  <c r="P151"/>
  <c r="Q151" s="1"/>
  <c r="P150"/>
  <c r="Q150" s="1"/>
  <c r="P149"/>
  <c r="Q149" s="1"/>
  <c r="F148"/>
  <c r="G148" s="1"/>
  <c r="F147"/>
  <c r="G147" s="1"/>
  <c r="F146"/>
  <c r="G146" s="1"/>
  <c r="F145"/>
  <c r="G145" s="1"/>
  <c r="C144"/>
  <c r="C143" s="1"/>
  <c r="V143"/>
  <c r="U143"/>
  <c r="T143"/>
  <c r="R143"/>
  <c r="O143"/>
  <c r="M143"/>
  <c r="G143"/>
  <c r="F143"/>
  <c r="E143"/>
  <c r="L142"/>
  <c r="L135" s="1"/>
  <c r="P140"/>
  <c r="Q140" s="1"/>
  <c r="Q135" s="1"/>
  <c r="G139"/>
  <c r="F138"/>
  <c r="G138" s="1"/>
  <c r="F137"/>
  <c r="G137" s="1"/>
  <c r="V135"/>
  <c r="U135"/>
  <c r="T135"/>
  <c r="R135"/>
  <c r="O135"/>
  <c r="M135"/>
  <c r="K135"/>
  <c r="J135"/>
  <c r="H135"/>
  <c r="E135"/>
  <c r="C135"/>
  <c r="F134"/>
  <c r="G134" s="1"/>
  <c r="F133"/>
  <c r="G133" s="1"/>
  <c r="C132"/>
  <c r="C131" s="1"/>
  <c r="V131"/>
  <c r="U131"/>
  <c r="T131"/>
  <c r="R131"/>
  <c r="G131"/>
  <c r="F131"/>
  <c r="E131"/>
  <c r="F130"/>
  <c r="G130" s="1"/>
  <c r="F129"/>
  <c r="G129" s="1"/>
  <c r="F128"/>
  <c r="G128" s="1"/>
  <c r="F127"/>
  <c r="G127" s="1"/>
  <c r="F126"/>
  <c r="G126" s="1"/>
  <c r="U123"/>
  <c r="U122" s="1"/>
  <c r="T122"/>
  <c r="R122"/>
  <c r="U121"/>
  <c r="U120" s="1"/>
  <c r="E121"/>
  <c r="E120" s="1"/>
  <c r="C121"/>
  <c r="C120" s="1"/>
  <c r="T120"/>
  <c r="R120"/>
  <c r="P119"/>
  <c r="P106" s="1"/>
  <c r="M119"/>
  <c r="M106" s="1"/>
  <c r="K119"/>
  <c r="K106" s="1"/>
  <c r="J119"/>
  <c r="E117"/>
  <c r="F117" s="1"/>
  <c r="G117" s="1"/>
  <c r="F116"/>
  <c r="G116" s="1"/>
  <c r="F115"/>
  <c r="G115" s="1"/>
  <c r="F114"/>
  <c r="G114" s="1"/>
  <c r="F113"/>
  <c r="G113" s="1"/>
  <c r="F112"/>
  <c r="G112" s="1"/>
  <c r="F111"/>
  <c r="G111" s="1"/>
  <c r="F110"/>
  <c r="G110" s="1"/>
  <c r="F109"/>
  <c r="G109" s="1"/>
  <c r="V108"/>
  <c r="V106" s="1"/>
  <c r="F108"/>
  <c r="G108" s="1"/>
  <c r="U106"/>
  <c r="T106"/>
  <c r="R106"/>
  <c r="O106"/>
  <c r="H106"/>
  <c r="C106"/>
  <c r="H99"/>
  <c r="H94" s="1"/>
  <c r="G98"/>
  <c r="G97"/>
  <c r="C97"/>
  <c r="C94" s="1"/>
  <c r="G96"/>
  <c r="V94"/>
  <c r="U94"/>
  <c r="T94"/>
  <c r="R94"/>
  <c r="F94"/>
  <c r="E94"/>
  <c r="L91"/>
  <c r="L87" s="1"/>
  <c r="I91"/>
  <c r="I87" s="1"/>
  <c r="V87"/>
  <c r="U87"/>
  <c r="T87"/>
  <c r="R87"/>
  <c r="K87"/>
  <c r="J87"/>
  <c r="H87"/>
  <c r="G87"/>
  <c r="F87"/>
  <c r="E87"/>
  <c r="C87"/>
  <c r="L75"/>
  <c r="K74"/>
  <c r="L74" s="1"/>
  <c r="K73"/>
  <c r="L73" s="1"/>
  <c r="K72"/>
  <c r="L72" s="1"/>
  <c r="G72"/>
  <c r="F71"/>
  <c r="G71" s="1"/>
  <c r="F70"/>
  <c r="G70" s="1"/>
  <c r="F69"/>
  <c r="G69" s="1"/>
  <c r="F68"/>
  <c r="G68" s="1"/>
  <c r="F67"/>
  <c r="G67" s="1"/>
  <c r="G66"/>
  <c r="F66"/>
  <c r="E65"/>
  <c r="C65"/>
  <c r="K38"/>
  <c r="L38" s="1"/>
  <c r="K36"/>
  <c r="L36" s="1"/>
  <c r="K35"/>
  <c r="L35" s="1"/>
  <c r="K34"/>
  <c r="L34" s="1"/>
  <c r="K33"/>
  <c r="F33"/>
  <c r="G33" s="1"/>
  <c r="F32"/>
  <c r="G32" s="1"/>
  <c r="F31"/>
  <c r="G31" s="1"/>
  <c r="E30"/>
  <c r="C30"/>
  <c r="V29"/>
  <c r="U29"/>
  <c r="T29"/>
  <c r="R29"/>
  <c r="F27"/>
  <c r="G27" s="1"/>
  <c r="F26"/>
  <c r="G26" s="1"/>
  <c r="F25"/>
  <c r="G25" s="1"/>
  <c r="F24"/>
  <c r="G24" s="1"/>
  <c r="F23"/>
  <c r="G23" s="1"/>
  <c r="F22"/>
  <c r="G22" s="1"/>
  <c r="F21"/>
  <c r="G21" s="1"/>
  <c r="F20"/>
  <c r="G20" s="1"/>
  <c r="F19"/>
  <c r="G19" s="1"/>
  <c r="F18"/>
  <c r="G18" s="1"/>
  <c r="F17"/>
  <c r="G17" s="1"/>
  <c r="V16"/>
  <c r="P16"/>
  <c r="Q16" s="1"/>
  <c r="Q15" s="1"/>
  <c r="E16"/>
  <c r="E15" s="1"/>
  <c r="C16"/>
  <c r="C15" s="1"/>
  <c r="V15"/>
  <c r="O15"/>
  <c r="O11" s="1"/>
  <c r="M15"/>
  <c r="D11"/>
  <c r="Q29" l="1"/>
  <c r="M11"/>
  <c r="K44"/>
  <c r="L44" s="1"/>
  <c r="W87"/>
  <c r="H30"/>
  <c r="H29" s="1"/>
  <c r="H11" s="1"/>
  <c r="J30"/>
  <c r="J29" s="1"/>
  <c r="L65"/>
  <c r="V180"/>
  <c r="V179" s="1"/>
  <c r="K30"/>
  <c r="E261"/>
  <c r="C261"/>
  <c r="K65"/>
  <c r="L278"/>
  <c r="L261" s="1"/>
  <c r="J261"/>
  <c r="W227"/>
  <c r="L227"/>
  <c r="F261"/>
  <c r="E106"/>
  <c r="F135"/>
  <c r="L33"/>
  <c r="V191"/>
  <c r="V190" s="1"/>
  <c r="P212"/>
  <c r="Q212" s="1"/>
  <c r="Q207" s="1"/>
  <c r="G251"/>
  <c r="L119"/>
  <c r="L106" s="1"/>
  <c r="P15"/>
  <c r="F193"/>
  <c r="L220"/>
  <c r="G264"/>
  <c r="G261" s="1"/>
  <c r="E181"/>
  <c r="E180" s="1"/>
  <c r="E179" s="1"/>
  <c r="F224"/>
  <c r="G224" s="1"/>
  <c r="F65"/>
  <c r="Q179"/>
  <c r="V208"/>
  <c r="V207" s="1"/>
  <c r="W223"/>
  <c r="R11"/>
  <c r="G228"/>
  <c r="G193"/>
  <c r="L153"/>
  <c r="L154" s="1"/>
  <c r="Q119"/>
  <c r="Q106" s="1"/>
  <c r="V121"/>
  <c r="V120" s="1"/>
  <c r="G121"/>
  <c r="G120" s="1"/>
  <c r="G153"/>
  <c r="G154" s="1"/>
  <c r="F251"/>
  <c r="I11"/>
  <c r="F16"/>
  <c r="F15" s="1"/>
  <c r="G94"/>
  <c r="F106"/>
  <c r="F228"/>
  <c r="E29"/>
  <c r="Q143"/>
  <c r="G223"/>
  <c r="G220" s="1"/>
  <c r="P207"/>
  <c r="P135"/>
  <c r="C29"/>
  <c r="T11"/>
  <c r="F30"/>
  <c r="F121"/>
  <c r="F120" s="1"/>
  <c r="G180"/>
  <c r="G179" s="1"/>
  <c r="G30"/>
  <c r="G65"/>
  <c r="G106"/>
  <c r="G135"/>
  <c r="G16"/>
  <c r="G15" s="1"/>
  <c r="P143"/>
  <c r="U193"/>
  <c r="U11" s="1"/>
  <c r="F180"/>
  <c r="F179" s="1"/>
  <c r="J106"/>
  <c r="K153"/>
  <c r="K154" s="1"/>
  <c r="P13" l="1"/>
  <c r="P11"/>
  <c r="Q14"/>
  <c r="Q11"/>
  <c r="L30"/>
  <c r="L29" s="1"/>
  <c r="W30"/>
  <c r="C11"/>
  <c r="K29"/>
  <c r="G29"/>
  <c r="G11" s="1"/>
  <c r="F29"/>
  <c r="F13" s="1"/>
  <c r="F220"/>
  <c r="V11"/>
  <c r="E11"/>
  <c r="W224"/>
  <c r="W29" l="1"/>
  <c r="G14"/>
  <c r="F11"/>
  <c r="L94"/>
  <c r="K94"/>
  <c r="K11" s="1"/>
  <c r="J102"/>
  <c r="J94" s="1"/>
  <c r="J11" s="1"/>
  <c r="J103"/>
  <c r="L11" l="1"/>
  <c r="L14"/>
  <c r="K13"/>
</calcChain>
</file>

<file path=xl/sharedStrings.xml><?xml version="1.0" encoding="utf-8"?>
<sst xmlns="http://schemas.openxmlformats.org/spreadsheetml/2006/main" count="341" uniqueCount="282">
  <si>
    <t xml:space="preserve"> Перечень объектов капитального ремонта и ремонта автодорог местного значения и искусственных сооружений на них в Белгородской области на 2024 - 2026 годы    </t>
  </si>
  <si>
    <t xml:space="preserve">     Наименование муниципальных районов, городских       и муниципальных округов, поселений, населенных пунктов</t>
  </si>
  <si>
    <t>2024 год</t>
  </si>
  <si>
    <t>2025 год</t>
  </si>
  <si>
    <t>2026 год</t>
  </si>
  <si>
    <t>2027 год</t>
  </si>
  <si>
    <t xml:space="preserve">    </t>
  </si>
  <si>
    <t>Протяженность</t>
  </si>
  <si>
    <t>в том числе</t>
  </si>
  <si>
    <t>Стоимость ВСЕГО,                   тыс. рублей</t>
  </si>
  <si>
    <t xml:space="preserve">км </t>
  </si>
  <si>
    <t>п.м</t>
  </si>
  <si>
    <t>муници-пальный бюджет</t>
  </si>
  <si>
    <t>областной бюджет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</si>
  <si>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</si>
  <si>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 xml:space="preserve"> </t>
  </si>
  <si>
    <t>Отремонтировано автодорог и мостов местного значения</t>
  </si>
  <si>
    <t>ВСЕГО</t>
  </si>
  <si>
    <t>в том числе:</t>
  </si>
  <si>
    <t>субсидии из областного бюджета</t>
  </si>
  <si>
    <t>средства  бюджетов муниципальных образований</t>
  </si>
  <si>
    <t>Алексеевский муниципальный округ</t>
  </si>
  <si>
    <t xml:space="preserve"> г. Алексеевка, ул. Н. Рубана                </t>
  </si>
  <si>
    <t xml:space="preserve">г. Алексеевка, ул. Л. Толстого        </t>
  </si>
  <si>
    <t>г. Алексеевка, ул. Кривошеина</t>
  </si>
  <si>
    <t xml:space="preserve">г. Алексеевка, ул. Тихая Сосна </t>
  </si>
  <si>
    <t xml:space="preserve">г. Алексеевка, ул. Нижняя </t>
  </si>
  <si>
    <t xml:space="preserve">г. Алексеевка, ул. Песчаная </t>
  </si>
  <si>
    <t>г. Алексеевка, ул. Каштановая</t>
  </si>
  <si>
    <t>г. Алексеевка, ул. Маяковского</t>
  </si>
  <si>
    <t>г. Алексеевка, пер. Острогожский</t>
  </si>
  <si>
    <t xml:space="preserve">г. Алексеевка, ул. Мостовая </t>
  </si>
  <si>
    <t>г. Алексеевка, пер. Фрунзе</t>
  </si>
  <si>
    <t>Белгородский район</t>
  </si>
  <si>
    <t>с. Репное, МКР «Европа», ул. Парижская</t>
  </si>
  <si>
    <t xml:space="preserve">   </t>
  </si>
  <si>
    <t>МКР ИЖС «Майский - 8»</t>
  </si>
  <si>
    <t>МКР ИЖС «Княжеский»</t>
  </si>
  <si>
    <t>МКР ИЖС «Лесной»</t>
  </si>
  <si>
    <t>МКР ИЖС «Новосадовый - 41», проезды</t>
  </si>
  <si>
    <t>МКР ИЖС «Пушкарное - 78» (2-я очередь)</t>
  </si>
  <si>
    <t>МКР ИЖС «Стрелецкое - 73/1»</t>
  </si>
  <si>
    <t>МКР ИЖС «Стрелецкое - 73/2 (2-я очередь)»</t>
  </si>
  <si>
    <t>Ремонт автодорог в МКР ИЖС, в том числе</t>
  </si>
  <si>
    <t>МКР ИЖС «Шишино - 84»</t>
  </si>
  <si>
    <t>Ремонт автодороги к СНТ «Авиатор»</t>
  </si>
  <si>
    <t>МКР ИЖС «Майский - 80»</t>
  </si>
  <si>
    <t>МКР ИЖС «Разумное - 81»</t>
  </si>
  <si>
    <t>МКР ИЖС «Пушкарное - 78»</t>
  </si>
  <si>
    <t>МКР ИЖС «Новосадовый - 41», «Новые сады»</t>
  </si>
  <si>
    <t>МКР ИЖС «Стрелецкое - 83»</t>
  </si>
  <si>
    <t>п. Новосадовый, МКР ИЖС «Новосадовый - 26»,      ул. Тенистая</t>
  </si>
  <si>
    <t>Борисовский район</t>
  </si>
  <si>
    <t>Ремонт улично-дорожной сети района, в том числе</t>
  </si>
  <si>
    <t>п. Борисовка, ул. Терновая</t>
  </si>
  <si>
    <t>п. Борисовка, ул. Ленина</t>
  </si>
  <si>
    <t>п. Борисовка, ул. Советская</t>
  </si>
  <si>
    <t>Валуйский муниципальный округ</t>
  </si>
  <si>
    <t>Ремонт автодороги по ул. 1 Мая в г. Валуйки</t>
  </si>
  <si>
    <t>п. Уразово</t>
  </si>
  <si>
    <t>Ремонт автодороги от подсобного хозяйства                  (с. Новая Симоновка) до Свято-Николаевского собора (МКР Раздолье)</t>
  </si>
  <si>
    <t>Вейделевский район</t>
  </si>
  <si>
    <t>Волоконовский район</t>
  </si>
  <si>
    <t xml:space="preserve">п. Волоконовка, ул. Королева </t>
  </si>
  <si>
    <t xml:space="preserve">х. Волчий, ул. Калинина </t>
  </si>
  <si>
    <t>с. Фощеватово, ул. Лесная</t>
  </si>
  <si>
    <t>с. Фощеватово, ул. Петровская</t>
  </si>
  <si>
    <t>с. Фощеватово, ул. Горная</t>
  </si>
  <si>
    <t>с. Фощеватово, ул. Набережная</t>
  </si>
  <si>
    <t>с. Фощеватово, ул. Раздольная</t>
  </si>
  <si>
    <t>х. Волчий Первый, ул. Дачная</t>
  </si>
  <si>
    <t>п. Волоконовка, ул. Сибирский Проезд</t>
  </si>
  <si>
    <t>с. Шеншиновка, ул. Садовая</t>
  </si>
  <si>
    <t>Капитальный ремонт автодороги  ул. Ленина -              ул. Нестерова, п. Волоконовка</t>
  </si>
  <si>
    <t>Грайворонский муниципальный округ</t>
  </si>
  <si>
    <t>Губкинский городской округ</t>
  </si>
  <si>
    <t>г. Грайворон, ул. Пролетарская</t>
  </si>
  <si>
    <t xml:space="preserve">г. Грайворон, ул. Горького </t>
  </si>
  <si>
    <t xml:space="preserve">с. Головчино, ул. Карла Маркса </t>
  </si>
  <si>
    <t>с. Головчино, ул. 2-я Советская (I-я очередь)</t>
  </si>
  <si>
    <t>с. Головчино, ул. 2-я Советская (II-я очередь)</t>
  </si>
  <si>
    <t>х. Тополи - с. Антоновка</t>
  </si>
  <si>
    <t>с. Ивановская Лисица, ул. Ленина</t>
  </si>
  <si>
    <t>Ивнянский район</t>
  </si>
  <si>
    <t xml:space="preserve">      </t>
  </si>
  <si>
    <t>п. Ивня, ул. Транспортная</t>
  </si>
  <si>
    <t>Корочанский район</t>
  </si>
  <si>
    <t xml:space="preserve">  </t>
  </si>
  <si>
    <t>х. Постников (в щебне)</t>
  </si>
  <si>
    <t>с. Анновка, ул. Центральная</t>
  </si>
  <si>
    <t>г. Короча, пер. Карла Либкнехта</t>
  </si>
  <si>
    <t xml:space="preserve">Капитальный ремонт подъездной дороги                      к кладбищу в х. Миндоловка </t>
  </si>
  <si>
    <t>Красненский район</t>
  </si>
  <si>
    <t>с. Готовье, ул. Молодежная</t>
  </si>
  <si>
    <t>с. Ураково, ул. Пролетарская</t>
  </si>
  <si>
    <t>с. Красное, пер. Подгорный, пер. Восточный</t>
  </si>
  <si>
    <t>с. Сетище, ул. Прудовая, ул. Лесная</t>
  </si>
  <si>
    <t>Ремонт автодороги от ул. Новая с. Большое                  до ул. Кривой рог с. Старый Редкодуб</t>
  </si>
  <si>
    <t>с. Лесное Уколово, I очередь</t>
  </si>
  <si>
    <t>Красногвардейский район</t>
  </si>
  <si>
    <t>с. Ливенка, ул. Набережная</t>
  </si>
  <si>
    <t>с. Арнаутово, ул. Победы</t>
  </si>
  <si>
    <t>с. Казацкое, ул. Заречная</t>
  </si>
  <si>
    <t>г. Бирюч, ул. Советская</t>
  </si>
  <si>
    <t>г. Бирюч, ул. Ямская</t>
  </si>
  <si>
    <t>г. Бирюч, ул. Чайковского</t>
  </si>
  <si>
    <t>г. Бирюч, ул. Заводская</t>
  </si>
  <si>
    <t>г. Бирюч, ул. Большевистская</t>
  </si>
  <si>
    <t>с. Раздорное, ул. Раздорная</t>
  </si>
  <si>
    <t>с. Горовое, ул. Мира</t>
  </si>
  <si>
    <t>х. Котляров, ул. Центральная</t>
  </si>
  <si>
    <t>с. Ливенка, ул. Подлес</t>
  </si>
  <si>
    <t>с. Ливенка, ул. Советская</t>
  </si>
  <si>
    <t>с. Ливенка, ул. Заводская</t>
  </si>
  <si>
    <t>Краснояружский  район</t>
  </si>
  <si>
    <t xml:space="preserve">п. Красная Яруга, ул. Почтовая </t>
  </si>
  <si>
    <t xml:space="preserve">п. Красная Яруга, ул. Народная - ул. Набережная </t>
  </si>
  <si>
    <t>с. Отрадовка, ул. Центральная - ул. Озерная</t>
  </si>
  <si>
    <t>п. Красная Яруга, ул. Набережная - Дальневосточная</t>
  </si>
  <si>
    <t>с. Илек-Пеньковка, ул. Молодежная</t>
  </si>
  <si>
    <t>с. Илек-Пеньковка, ул. Школьная</t>
  </si>
  <si>
    <t>х. Вязовской, ул. Трудовая</t>
  </si>
  <si>
    <t xml:space="preserve">Капитальный ремонт автодороги по ул. Парковая         в п. Красная Яруга </t>
  </si>
  <si>
    <t>Новооскольский городской округ</t>
  </si>
  <si>
    <t>г. Новый Оскол, ул. Успенская - ул. Кирова</t>
  </si>
  <si>
    <t xml:space="preserve">Капитальный ремонт моста в г. Новый Оскол,                   ул. 1 Мая </t>
  </si>
  <si>
    <t>Прохоровский район</t>
  </si>
  <si>
    <t>п. Прохоровка, ул. Советская</t>
  </si>
  <si>
    <r>
      <rPr>
        <sz val="14"/>
        <rFont val="Times New Roman"/>
        <family val="1"/>
        <charset val="204"/>
      </rPr>
      <t>п</t>
    </r>
    <r>
      <rPr>
        <sz val="14"/>
        <color rgb="FF8B08BC"/>
        <rFont val="Times New Roman"/>
        <family val="1"/>
        <charset val="204"/>
      </rPr>
      <t xml:space="preserve">. </t>
    </r>
    <r>
      <rPr>
        <sz val="14"/>
        <rFont val="Times New Roman"/>
        <family val="1"/>
        <charset val="204"/>
      </rPr>
      <t xml:space="preserve">Прохоровка, 1-й Советский переулок </t>
    </r>
  </si>
  <si>
    <t>п. Прохоровка, ул. Ивана Гнездилова</t>
  </si>
  <si>
    <t>с. Камышевка, ул. Волошенко</t>
  </si>
  <si>
    <t xml:space="preserve">с. Новоселовка, ул. Речная </t>
  </si>
  <si>
    <t>с. Подольхи, ул. Колхозная</t>
  </si>
  <si>
    <t>с. Казачье, ул. Солнечная</t>
  </si>
  <si>
    <t>с. Казачье, ул. Тихая</t>
  </si>
  <si>
    <t>с. Казачье, ул. Береговая</t>
  </si>
  <si>
    <t>п. Прохоровка, ул. Лермонтова</t>
  </si>
  <si>
    <t>с. Вязовое, ул. Народная</t>
  </si>
  <si>
    <t>Ракитянский район</t>
  </si>
  <si>
    <t>п. Ракитное, ул. Призаводская, ул. Заводская</t>
  </si>
  <si>
    <t>с. Русская Березовка</t>
  </si>
  <si>
    <t>п. Ракитное, ул. Первомайская</t>
  </si>
  <si>
    <t>п. Ракитное, ул. Московская</t>
  </si>
  <si>
    <t>п. Пролетарский, ул. Октябрьская, ул. Лесная,               пер. 8 Проезд, пер. 9 Проезд, пер. Советский</t>
  </si>
  <si>
    <t>п. Пролетарский, пер. Садовый - ул. 8 Марта,                ул. Народная</t>
  </si>
  <si>
    <t>с. Ворсклица</t>
  </si>
  <si>
    <t>с. Солдатское, ул. Садовая, ул. Молочная</t>
  </si>
  <si>
    <t>с. Новоленинское</t>
  </si>
  <si>
    <t>Ровеньский район</t>
  </si>
  <si>
    <t>Старооскольский городской округ</t>
  </si>
  <si>
    <t xml:space="preserve">           </t>
  </si>
  <si>
    <t>Ремонт автодорог в МКР ИЖС «Пролески»</t>
  </si>
  <si>
    <t>с. Городище</t>
  </si>
  <si>
    <t>г. Старый Оскол, ул. Треугольник</t>
  </si>
  <si>
    <t>г. Старый Оскол, ул. Комсомольская                               (от пр. Комсомольского до ул. Ленина)</t>
  </si>
  <si>
    <t>Капитальный ремонт улично - дорожной сети городского округа, в том числе</t>
  </si>
  <si>
    <t>Чернянский район</t>
  </si>
  <si>
    <t>с. Новоречье, ул. Молодежная</t>
  </si>
  <si>
    <t>с. Новоречье, ул. Центральная</t>
  </si>
  <si>
    <t>п. Чернянка, ул. Есенина</t>
  </si>
  <si>
    <t>п. Чернянка, ул. Гоголя</t>
  </si>
  <si>
    <t>п. Чернянка, ул. Комарова</t>
  </si>
  <si>
    <t>п. Чернянка ул. Крупской</t>
  </si>
  <si>
    <t>п. Чернянка ул. Ломоносова</t>
  </si>
  <si>
    <t>п. Чернянка, ул. Кольцова - ул. Урицкого</t>
  </si>
  <si>
    <t>Яковлевский муниципальный округ</t>
  </si>
  <si>
    <t>с. Кривцово, ул. Привольная</t>
  </si>
  <si>
    <t>г. Строитель, ул. Конева</t>
  </si>
  <si>
    <t>г. Строитель, ул. Жукова</t>
  </si>
  <si>
    <t>х. Новочеркасский, подъезд к кладбищу</t>
  </si>
  <si>
    <t>с. Верхний Ольшанец, ул. Садовая</t>
  </si>
  <si>
    <t>п. Яковлево, ул. Южная</t>
  </si>
  <si>
    <t>с. Гостищево, подъезд к кладбищу</t>
  </si>
  <si>
    <t>г. Строитель, ул. Жукова                                             (ремонт внутридомовых проездов)</t>
  </si>
  <si>
    <t>с. Гостищево, ул. Комсомольская</t>
  </si>
  <si>
    <t>г. Белгород</t>
  </si>
  <si>
    <t>Капитальный ремонт пр. Ватутина от ул. 5 Августа      до ул. Князя Трубецкого в г. Белгороде (1 этап)</t>
  </si>
  <si>
    <t>Ремонт автодорог к парку аттракционов                        в городе Белгороде</t>
  </si>
  <si>
    <t>Ремонт автомобильных дорог  в урочище Пески (ул. Дальняя Тихая и ул. Ольховая) в граниах городского округа "Город Белгород"</t>
  </si>
  <si>
    <t>Ремонт улично-дорожной сети в г.Белгороде                                     (ул. Белгородской Сирени)</t>
  </si>
  <si>
    <t>Ремонт ул. Белгородского Полка                                                    от пр. Белгородский до ул. Октябрьская</t>
  </si>
  <si>
    <t>Ремонт ул.Волчанская от ул. Михайловское шоссе до д. 139</t>
  </si>
  <si>
    <t>Ремонт ул. Академическая от ул. Костюкова                                                         до д. 1а</t>
  </si>
  <si>
    <t>Ремонт ул. Беловская</t>
  </si>
  <si>
    <t>Ремонт ул. Пятницкая от ул. Макаренко                                                      до ул. С.Косенкова</t>
  </si>
  <si>
    <t>Ремонт ул.С.Чайкина от ул. Пятницкая                                                          до ул. Беловская</t>
  </si>
  <si>
    <t>Ремонт ул. С.Косенкова</t>
  </si>
  <si>
    <t>Ремонт автодороги по пер. 5 Ясный</t>
  </si>
  <si>
    <t>Ремонт автодороги по пер.2 Декабристов                                                                  от пер. 1-й Слобожанский до д.15</t>
  </si>
  <si>
    <t>Стоимость              ВСЕГО,        тыс. рублей</t>
  </si>
  <si>
    <t>субсидии           из областного бюджета</t>
  </si>
  <si>
    <t>Стоимость               ВСЕГО,        тыс. рублей</t>
  </si>
  <si>
    <t>субсидии      из областного бюджета</t>
  </si>
  <si>
    <t>Стоимость             ВСЕГО,         тыс. рублей</t>
  </si>
  <si>
    <t>субсидии            из областного бюджета</t>
  </si>
  <si>
    <t xml:space="preserve">Капитальный ремонт автодороги  по ул. Полевая             в с. Веселое </t>
  </si>
  <si>
    <t>Капитальный ремонт подъезда к детскому саду «Теремок», с. Веселое</t>
  </si>
  <si>
    <t>с. Холодное, ул. Родниковая</t>
  </si>
  <si>
    <t xml:space="preserve">Капитальный ремонт мостовых сооружений                             и путепроводов в г. Белгороде. Город Белгород, мост через р. Везелка по ул. Н. Чумичова </t>
  </si>
  <si>
    <t>Капитальный ремонт пр. Ватутина от ул. 5 Августа      до ул. Князя Трубецкого в г. Белгороде (2 этап)</t>
  </si>
  <si>
    <t>Капитальный ремонт путепровода через ж/д пути по ул. Михайловское шоссе в г. Белгороде</t>
  </si>
  <si>
    <t>Капитальный ремонт автодорог в МКР ИЖС,                    в том числе</t>
  </si>
  <si>
    <t>МКР ИЖС Пушкарное, проезд между ул. Ратная               и ул. Дозорная</t>
  </si>
  <si>
    <t>Капитальный ремонт автодороги по ул. Щорса                  в г. Валуйки</t>
  </si>
  <si>
    <t>Капитальный ремонт автодороги по ул. Никольская                             в г. Валуйки</t>
  </si>
  <si>
    <t xml:space="preserve">Капитальный ремонт автодороги по ул. Кольцевая                                       в с. Принцевка </t>
  </si>
  <si>
    <t>Капитальный ремонт автодороги  по ул. Подгорная                      в с. Черменевка</t>
  </si>
  <si>
    <t>с. Сорокино, ул. Тракторная, ул. Дачная,                                                  п. Аксеновка, ул. Песочная</t>
  </si>
  <si>
    <t>Капитальный ремонт автомобильных дорог                   в микрорайоне ИЖС  «Строитель» с. Незнамово                                            (с устройством наружного освещения)</t>
  </si>
  <si>
    <t>с. Круглое, ул. Красный Боец</t>
  </si>
  <si>
    <t>с. Камызино, ул. Пролетарская, ул. Горького</t>
  </si>
  <si>
    <t>с. Стрелецкое</t>
  </si>
  <si>
    <t>с. Верхососна</t>
  </si>
  <si>
    <t>с. Засосна</t>
  </si>
  <si>
    <t xml:space="preserve">г. Бирюч, ул. Красных Партизан </t>
  </si>
  <si>
    <t>с. Малиново, ул. Зеленая</t>
  </si>
  <si>
    <t xml:space="preserve">Приложение № 9                                                                                                                                                     к государственной программе Белгородской области                                          «Совершенствование и развитие транспортной системы                                                              и  дорожной сети  Белгородской области»  </t>
  </si>
  <si>
    <t>МКР ИЖС «Тополек», п. Дубовое</t>
  </si>
  <si>
    <t>с. Репное, МКР «Наследие», ул. Геройская</t>
  </si>
  <si>
    <t xml:space="preserve">МКР ИЖС «Стрелецкое 72», ул. Казанская  </t>
  </si>
  <si>
    <r>
      <t xml:space="preserve">МКР ИЖС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Беловское-53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</t>
    </r>
  </si>
  <si>
    <t xml:space="preserve">МКР ИЖС  «Стрелецкое - 23А», ул. Обьездная </t>
  </si>
  <si>
    <t>МКР ИЖС «Таврово - 8», ул. Лирическая</t>
  </si>
  <si>
    <t xml:space="preserve">МКР  «Таврово - 4», ул. Рабочая </t>
  </si>
  <si>
    <t xml:space="preserve">МКР ИЖС «Северный - 11», ул. Реликтовая </t>
  </si>
  <si>
    <t xml:space="preserve">МКР ИЖС  «Таврово - 5», пер. Абрикосовый 
</t>
  </si>
  <si>
    <t>МКР ИЖС «Стрелецкое-59», ул. Фартовая</t>
  </si>
  <si>
    <t>с. Пушкарное, ул. Народная                                                                                                  подъезд к домам № 2 - № 8</t>
  </si>
  <si>
    <t>с. Пушкарное, ул. Народная                                                                                                                      подъездная дорога к домам № 66 - № 68</t>
  </si>
  <si>
    <t>МКР  ИЖС «Разумное - 81»</t>
  </si>
  <si>
    <t>МКР ИЖС «Новосадовый - 26», ул. Звездная</t>
  </si>
  <si>
    <t>с. Шишино, МКР  ИЖС «Шишино - 39»,                                                       от ул. Харьковская до ул. Рубежная</t>
  </si>
  <si>
    <t xml:space="preserve">с. Драгунское, МКР ИЖС  «Драгунское - 4» </t>
  </si>
  <si>
    <t>МКР ИЖС  «Таврово - 4», ул. Луговая</t>
  </si>
  <si>
    <t>с. Таврово, МКР ИЖС «Таврово - 10»,                                  ул. Рубежная, ул. Звездная</t>
  </si>
  <si>
    <t>МКР ИЖС «Стрелецкое - 83»,  ул.Черникова,               ул. Рубежная, проезды</t>
  </si>
  <si>
    <t xml:space="preserve">с. Беловское, ул. Буханова </t>
  </si>
  <si>
    <t>МКР ИЖС  «Севрюково, 62.25», ул. Грушовая, ул. Малиновая</t>
  </si>
  <si>
    <t>МКР ИЖС «Крутой Лог - 24 а»</t>
  </si>
  <si>
    <t>с. Беломестное, ул. Набережная</t>
  </si>
  <si>
    <t>МКР ИЖС «Таврово - 4», ул. Лесная, 2 а</t>
  </si>
  <si>
    <t>МКР ИЖС «Таврово - 10», пер. Алмазный</t>
  </si>
  <si>
    <t>с. Пушкарное, ул. Белогорье</t>
  </si>
  <si>
    <t>МКР ИЖС «Разумное - 54», ул. Кедровая</t>
  </si>
  <si>
    <t>МКР  ИЖС «Разумное - 71», ул. Рублевская</t>
  </si>
  <si>
    <t>п. Дубовое, ул. Садовая                                                                 на участке от д. № 92 до д. № 102</t>
  </si>
  <si>
    <t xml:space="preserve">с. Ерик,  ул.Магистральная </t>
  </si>
  <si>
    <t>п. Разумное, ул. им. И.Д. Елисеева</t>
  </si>
  <si>
    <t>х. Тараканов (в щебне)</t>
  </si>
  <si>
    <t>с. Стригуны, ул. Ленина</t>
  </si>
  <si>
    <t>п. Чернянка, ул. Садовая</t>
  </si>
  <si>
    <t>с. Малотроицкое, ул. Дружная - ул. Молодежная</t>
  </si>
  <si>
    <t>с. Орлик, ул. Голофеевская</t>
  </si>
  <si>
    <t>с. Волотово, ул. В. Грачевка</t>
  </si>
  <si>
    <t>с. Русская Халань, ул. Луговая</t>
  </si>
  <si>
    <t>с. Ездочное,                                                                                                                      ул. Центральная - ул. Старомасловская</t>
  </si>
  <si>
    <t xml:space="preserve">с. Новоречье </t>
  </si>
  <si>
    <t>п. Чернянка</t>
  </si>
  <si>
    <t>с. Лозное, ул. им. Е.П. Шевелева</t>
  </si>
  <si>
    <t>Ремонт улично-дорожной сети муниципального округа, в том числе</t>
  </si>
  <si>
    <t>Шебекинский муниципальный округ</t>
  </si>
  <si>
    <t>Ремонт улично-дорожной сети муниципального округа</t>
  </si>
  <si>
    <r>
      <t xml:space="preserve">МКР ИЖС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Севрюково, 62.25», ул. Раздольная,               ул. Мира, ул. Славы, ул. Привольная</t>
    </r>
  </si>
  <si>
    <r>
      <t xml:space="preserve">МКР ИЖС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Комсомольский - 50</t>
    </r>
    <r>
      <rPr>
        <sz val="14"/>
        <rFont val="Calibri"/>
        <family val="2"/>
        <charset val="204"/>
      </rPr>
      <t xml:space="preserve">», </t>
    </r>
    <r>
      <rPr>
        <sz val="14"/>
        <rFont val="Times New Roman"/>
        <family val="1"/>
        <charset val="204"/>
      </rPr>
      <t>ул. Весенняя,                 ул. Цветочная, ул. Береговая, пер. Береговой,                 ул. Ягодная, пер. Ягодный, ул. Озерная,                             пер. Озерный</t>
    </r>
  </si>
  <si>
    <t>с. Драгунское,  МКР  ИЖС «Садовый»,                            ул. Некрасова, проезд между ул. Некрасова                               и ул. Пушкина, ул. Овражная</t>
  </si>
  <si>
    <t>МКР ИЖС «Северный-20, 20А», ул. Гоголя,                  ул. Славянская, ул. Знаменская,  ул. Кольцевая,                  ул. Малиновая</t>
  </si>
  <si>
    <t>с.Ближняя Игуменка,                                                             МКР ИЖС «Ближняя Игуменка - 1.19»,                         ул. Ягодная, от ул. Голубые Дали до ул. Песчаная</t>
  </si>
  <si>
    <t>с. Беленихино, ул. Ватутина</t>
  </si>
  <si>
    <t>с. Верхнее Кузькино, ул. Речная</t>
  </si>
  <si>
    <t>с. Русская Халань, пер. 5-й Центральный</t>
  </si>
  <si>
    <t>Капитальный ремонт улично-дорожной сети города, в том числе</t>
  </si>
  <si>
    <t>Ремонт улично-дорожной сети города,                                               в том числе</t>
  </si>
  <si>
    <t>А.А. Рогов</t>
  </si>
  <si>
    <t>Капитальный ремонт улично-дорожной сети района, в том числе</t>
  </si>
  <si>
    <t>Капитальный ремонт улично-дорожной сети                       с. Остроухово</t>
  </si>
  <si>
    <t>Ремонт мостов через реку Локня в с. Красный Куток</t>
  </si>
  <si>
    <t xml:space="preserve">Ремонт автодороги от с. Поминово до с. Гладково </t>
  </si>
  <si>
    <t>Капитальный ремонт улично-дорожной сети округа, в том числе</t>
  </si>
  <si>
    <t>Первый заместитель министра автомобильных дорог и транспорта Белгородской области</t>
  </si>
  <si>
    <t>№    п/п</t>
  </si>
  <si>
    <t xml:space="preserve">с. Дальняя Игуменка, МКР ИЖС «Игуменка - 79» </t>
  </si>
  <si>
    <t>Ремонт автодороги с. Покровка - х. Красная Поляна -                                  х. Береговой</t>
  </si>
</sst>
</file>

<file path=xl/styles.xml><?xml version="1.0" encoding="utf-8"?>
<styleSheet xmlns="http://schemas.openxmlformats.org/spreadsheetml/2006/main">
  <numFmts count="9">
    <numFmt numFmtId="164" formatCode="#,##0.0"/>
    <numFmt numFmtId="165" formatCode="0.0"/>
    <numFmt numFmtId="166" formatCode="#,##0.000"/>
    <numFmt numFmtId="167" formatCode="#,##0_р_."/>
    <numFmt numFmtId="168" formatCode="#,##0.0_р_."/>
    <numFmt numFmtId="169" formatCode="#,##0.00000"/>
    <numFmt numFmtId="170" formatCode="#,##0.000_р_."/>
    <numFmt numFmtId="171" formatCode="0.000"/>
    <numFmt numFmtId="172" formatCode="#,##0.000000"/>
  </numFmts>
  <fonts count="27">
    <font>
      <sz val="10"/>
      <name val="Arial"/>
      <charset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4"/>
      <color rgb="FF8B08BC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4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4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239">
    <xf numFmtId="0" fontId="0" fillId="0" borderId="0" xfId="0"/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0" fillId="0" borderId="0" xfId="0" applyFont="1" applyAlignment="1" applyProtection="1"/>
    <xf numFmtId="0" fontId="4" fillId="0" borderId="0" xfId="5" applyFont="1" applyBorder="1" applyAlignment="1" applyProtection="1">
      <alignment horizontal="center" vertical="center" wrapText="1"/>
    </xf>
    <xf numFmtId="0" fontId="4" fillId="0" borderId="0" xfId="5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0" fillId="0" borderId="0" xfId="5" applyFont="1" applyBorder="1" applyAlignment="1" applyProtection="1"/>
    <xf numFmtId="0" fontId="0" fillId="0" borderId="0" xfId="0" applyFont="1" applyBorder="1" applyAlignment="1" applyProtection="1"/>
    <xf numFmtId="0" fontId="0" fillId="0" borderId="1" xfId="0" applyFont="1" applyBorder="1" applyAlignment="1" applyProtection="1"/>
    <xf numFmtId="0" fontId="8" fillId="0" borderId="0" xfId="0" applyFont="1" applyAlignment="1" applyProtection="1"/>
    <xf numFmtId="0" fontId="9" fillId="0" borderId="0" xfId="0" applyFont="1" applyAlignment="1" applyProtection="1">
      <alignment horizontal="center"/>
    </xf>
    <xf numFmtId="0" fontId="7" fillId="0" borderId="11" xfId="5" applyFont="1" applyBorder="1" applyAlignment="1" applyProtection="1">
      <alignment horizontal="center" vertical="center" wrapText="1"/>
    </xf>
    <xf numFmtId="0" fontId="7" fillId="0" borderId="12" xfId="5" applyFont="1" applyBorder="1" applyAlignment="1" applyProtection="1">
      <alignment horizontal="center" vertical="center" wrapText="1"/>
    </xf>
    <xf numFmtId="0" fontId="7" fillId="0" borderId="13" xfId="5" applyFont="1" applyBorder="1" applyAlignment="1" applyProtection="1">
      <alignment horizontal="center" vertical="center" wrapText="1"/>
    </xf>
    <xf numFmtId="0" fontId="7" fillId="0" borderId="14" xfId="5" applyFont="1" applyBorder="1" applyAlignment="1" applyProtection="1">
      <alignment horizontal="center" vertical="center" wrapText="1"/>
    </xf>
    <xf numFmtId="0" fontId="10" fillId="0" borderId="15" xfId="5" applyFont="1" applyBorder="1" applyAlignment="1" applyProtection="1">
      <alignment horizontal="center" vertical="center" wrapText="1"/>
    </xf>
    <xf numFmtId="0" fontId="10" fillId="0" borderId="16" xfId="5" applyFont="1" applyBorder="1" applyAlignment="1" applyProtection="1">
      <alignment horizontal="center" vertical="center" wrapText="1"/>
    </xf>
    <xf numFmtId="0" fontId="10" fillId="0" borderId="17" xfId="5" applyFont="1" applyBorder="1" applyAlignment="1" applyProtection="1">
      <alignment horizontal="center" vertical="center" wrapText="1"/>
    </xf>
    <xf numFmtId="0" fontId="10" fillId="0" borderId="18" xfId="5" applyFont="1" applyBorder="1" applyAlignment="1" applyProtection="1">
      <alignment horizontal="center" vertical="center" wrapText="1"/>
    </xf>
    <xf numFmtId="0" fontId="4" fillId="0" borderId="19" xfId="5" applyFont="1" applyBorder="1" applyAlignment="1" applyProtection="1">
      <alignment horizontal="center" vertical="center" wrapText="1"/>
    </xf>
    <xf numFmtId="0" fontId="4" fillId="0" borderId="20" xfId="5" applyFont="1" applyBorder="1" applyAlignment="1" applyProtection="1">
      <alignment horizontal="center" vertical="center" wrapText="1"/>
    </xf>
    <xf numFmtId="0" fontId="4" fillId="0" borderId="21" xfId="5" applyFont="1" applyBorder="1" applyAlignment="1" applyProtection="1">
      <alignment horizontal="center" vertical="center" wrapText="1"/>
    </xf>
    <xf numFmtId="0" fontId="4" fillId="0" borderId="22" xfId="5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1" fontId="5" fillId="0" borderId="24" xfId="3" applyNumberFormat="1" applyFont="1" applyBorder="1" applyAlignment="1" applyProtection="1">
      <alignment horizontal="center" vertical="center" wrapText="1"/>
    </xf>
    <xf numFmtId="0" fontId="5" fillId="0" borderId="24" xfId="5" applyFont="1" applyBorder="1" applyAlignment="1" applyProtection="1">
      <alignment horizontal="center" vertical="center" wrapText="1"/>
    </xf>
    <xf numFmtId="0" fontId="5" fillId="0" borderId="7" xfId="5" applyFont="1" applyBorder="1" applyAlignment="1" applyProtection="1">
      <alignment horizontal="left" vertical="center" wrapText="1"/>
    </xf>
    <xf numFmtId="164" fontId="5" fillId="0" borderId="7" xfId="5" applyNumberFormat="1" applyFont="1" applyBorder="1" applyAlignment="1" applyProtection="1">
      <alignment horizontal="center" vertical="center" wrapText="1"/>
    </xf>
    <xf numFmtId="164" fontId="5" fillId="0" borderId="8" xfId="5" applyNumberFormat="1" applyFont="1" applyBorder="1" applyAlignment="1" applyProtection="1">
      <alignment horizontal="center" vertical="center" wrapText="1"/>
    </xf>
    <xf numFmtId="164" fontId="5" fillId="0" borderId="0" xfId="5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/>
    </xf>
    <xf numFmtId="0" fontId="4" fillId="0" borderId="25" xfId="5" applyFont="1" applyBorder="1" applyAlignment="1" applyProtection="1">
      <alignment horizontal="center" vertical="center" wrapText="1"/>
    </xf>
    <xf numFmtId="0" fontId="12" fillId="0" borderId="26" xfId="5" applyFont="1" applyBorder="1" applyAlignment="1" applyProtection="1">
      <alignment vertical="center" wrapText="1"/>
    </xf>
    <xf numFmtId="0" fontId="0" fillId="0" borderId="27" xfId="5" applyFont="1" applyBorder="1" applyAlignment="1" applyProtection="1"/>
    <xf numFmtId="0" fontId="0" fillId="0" borderId="27" xfId="0" applyFont="1" applyBorder="1" applyAlignment="1" applyProtection="1"/>
    <xf numFmtId="0" fontId="0" fillId="0" borderId="28" xfId="5" applyFont="1" applyBorder="1" applyAlignment="1" applyProtection="1"/>
    <xf numFmtId="0" fontId="0" fillId="0" borderId="29" xfId="0" applyFont="1" applyBorder="1" applyAlignment="1" applyProtection="1"/>
    <xf numFmtId="0" fontId="0" fillId="0" borderId="26" xfId="0" applyFont="1" applyBorder="1" applyAlignment="1" applyProtection="1"/>
    <xf numFmtId="0" fontId="0" fillId="0" borderId="28" xfId="0" applyFont="1" applyBorder="1" applyAlignment="1" applyProtection="1"/>
    <xf numFmtId="0" fontId="13" fillId="0" borderId="30" xfId="5" applyFont="1" applyBorder="1" applyAlignment="1" applyProtection="1">
      <alignment horizontal="center" vertical="center" wrapText="1"/>
    </xf>
    <xf numFmtId="0" fontId="12" fillId="0" borderId="11" xfId="4" applyFont="1" applyBorder="1" applyAlignment="1" applyProtection="1">
      <alignment horizontal="left" vertical="center" wrapText="1"/>
    </xf>
    <xf numFmtId="165" fontId="5" fillId="0" borderId="7" xfId="5" applyNumberFormat="1" applyFont="1" applyBorder="1" applyAlignment="1" applyProtection="1">
      <alignment horizontal="center" vertical="center" wrapText="1"/>
    </xf>
    <xf numFmtId="0" fontId="0" fillId="0" borderId="9" xfId="0" applyFont="1" applyBorder="1" applyAlignment="1" applyProtection="1"/>
    <xf numFmtId="0" fontId="0" fillId="0" borderId="7" xfId="0" applyFont="1" applyBorder="1" applyAlignment="1" applyProtection="1"/>
    <xf numFmtId="0" fontId="0" fillId="0" borderId="11" xfId="0" applyFont="1" applyBorder="1" applyAlignment="1" applyProtection="1"/>
    <xf numFmtId="0" fontId="0" fillId="0" borderId="8" xfId="0" applyFont="1" applyBorder="1" applyAlignment="1" applyProtection="1"/>
    <xf numFmtId="3" fontId="5" fillId="0" borderId="7" xfId="5" applyNumberFormat="1" applyFont="1" applyBorder="1" applyAlignment="1" applyProtection="1">
      <alignment horizontal="center" vertical="center" wrapText="1"/>
    </xf>
    <xf numFmtId="166" fontId="14" fillId="0" borderId="7" xfId="0" applyNumberFormat="1" applyFont="1" applyBorder="1" applyAlignment="1" applyProtection="1"/>
    <xf numFmtId="3" fontId="10" fillId="0" borderId="9" xfId="5" applyNumberFormat="1" applyFont="1" applyBorder="1" applyAlignment="1" applyProtection="1">
      <alignment horizontal="center" vertical="center" wrapText="1"/>
    </xf>
    <xf numFmtId="3" fontId="10" fillId="0" borderId="7" xfId="5" applyNumberFormat="1" applyFont="1" applyBorder="1" applyAlignment="1" applyProtection="1">
      <alignment horizontal="center" vertical="center" wrapText="1"/>
    </xf>
    <xf numFmtId="3" fontId="10" fillId="0" borderId="11" xfId="5" applyNumberFormat="1" applyFont="1" applyBorder="1" applyAlignment="1" applyProtection="1">
      <alignment horizontal="center" vertical="center" wrapText="1"/>
    </xf>
    <xf numFmtId="0" fontId="5" fillId="0" borderId="11" xfId="4" applyFont="1" applyBorder="1" applyAlignment="1" applyProtection="1">
      <alignment horizontal="center" vertical="center" wrapText="1"/>
    </xf>
    <xf numFmtId="164" fontId="10" fillId="0" borderId="7" xfId="5" applyNumberFormat="1" applyFont="1" applyBorder="1" applyAlignment="1" applyProtection="1">
      <alignment horizontal="center" vertical="center" wrapText="1"/>
    </xf>
    <xf numFmtId="164" fontId="10" fillId="0" borderId="11" xfId="5" applyNumberFormat="1" applyFont="1" applyBorder="1" applyAlignment="1" applyProtection="1">
      <alignment horizontal="center" vertical="center" wrapText="1"/>
    </xf>
    <xf numFmtId="164" fontId="10" fillId="0" borderId="8" xfId="5" applyNumberFormat="1" applyFont="1" applyBorder="1" applyAlignment="1" applyProtection="1">
      <alignment horizontal="center" vertical="center" wrapText="1"/>
    </xf>
    <xf numFmtId="164" fontId="10" fillId="0" borderId="9" xfId="5" applyNumberFormat="1" applyFont="1" applyBorder="1" applyAlignment="1" applyProtection="1">
      <alignment horizontal="center" vertical="center" wrapText="1"/>
    </xf>
    <xf numFmtId="3" fontId="10" fillId="0" borderId="0" xfId="5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/>
    </xf>
    <xf numFmtId="0" fontId="4" fillId="0" borderId="30" xfId="5" applyFont="1" applyBorder="1" applyAlignment="1" applyProtection="1">
      <alignment horizontal="center" vertical="center" wrapText="1"/>
    </xf>
    <xf numFmtId="0" fontId="4" fillId="0" borderId="11" xfId="4" applyFont="1" applyBorder="1" applyAlignment="1" applyProtection="1">
      <alignment horizontal="left" vertical="center" wrapText="1"/>
    </xf>
    <xf numFmtId="166" fontId="4" fillId="0" borderId="7" xfId="5" applyNumberFormat="1" applyFont="1" applyBorder="1" applyAlignment="1" applyProtection="1">
      <alignment horizontal="center" vertical="center" wrapText="1"/>
    </xf>
    <xf numFmtId="3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Border="1" applyAlignment="1" applyProtection="1">
      <alignment horizontal="center" vertical="center" wrapText="1"/>
    </xf>
    <xf numFmtId="164" fontId="4" fillId="0" borderId="11" xfId="5" applyNumberFormat="1" applyFont="1" applyBorder="1" applyAlignment="1" applyProtection="1">
      <alignment horizontal="center" vertical="center" wrapText="1"/>
    </xf>
    <xf numFmtId="167" fontId="4" fillId="0" borderId="7" xfId="5" applyNumberFormat="1" applyFont="1" applyBorder="1" applyAlignment="1" applyProtection="1">
      <alignment horizontal="center" vertical="center"/>
    </xf>
    <xf numFmtId="168" fontId="4" fillId="0" borderId="7" xfId="5" applyNumberFormat="1" applyFont="1" applyBorder="1" applyAlignment="1" applyProtection="1">
      <alignment horizontal="center" vertical="center"/>
    </xf>
    <xf numFmtId="164" fontId="4" fillId="0" borderId="8" xfId="5" applyNumberFormat="1" applyFont="1" applyBorder="1" applyAlignment="1" applyProtection="1">
      <alignment horizontal="center" vertical="center" wrapText="1"/>
    </xf>
    <xf numFmtId="166" fontId="4" fillId="0" borderId="9" xfId="5" applyNumberFormat="1" applyFont="1" applyBorder="1" applyAlignment="1" applyProtection="1">
      <alignment horizontal="center" vertical="center" wrapText="1"/>
    </xf>
    <xf numFmtId="167" fontId="4" fillId="0" borderId="8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 wrapText="1"/>
    </xf>
    <xf numFmtId="166" fontId="10" fillId="0" borderId="7" xfId="5" applyNumberFormat="1" applyFont="1" applyBorder="1" applyAlignment="1" applyProtection="1">
      <alignment horizontal="center" vertical="center" wrapText="1"/>
    </xf>
    <xf numFmtId="166" fontId="10" fillId="0" borderId="0" xfId="5" applyNumberFormat="1" applyFont="1" applyBorder="1" applyAlignment="1" applyProtection="1">
      <alignment horizontal="center" vertical="center" wrapText="1"/>
    </xf>
    <xf numFmtId="166" fontId="0" fillId="0" borderId="9" xfId="0" applyNumberFormat="1" applyFont="1" applyBorder="1" applyAlignment="1" applyProtection="1"/>
    <xf numFmtId="0" fontId="4" fillId="0" borderId="26" xfId="4" applyFont="1" applyBorder="1" applyAlignment="1" applyProtection="1">
      <alignment horizontal="left" vertical="center" wrapText="1"/>
    </xf>
    <xf numFmtId="164" fontId="10" fillId="0" borderId="29" xfId="5" applyNumberFormat="1" applyFont="1" applyBorder="1" applyAlignment="1" applyProtection="1">
      <alignment horizontal="center" vertical="center" wrapText="1"/>
    </xf>
    <xf numFmtId="3" fontId="10" fillId="0" borderId="27" xfId="5" applyNumberFormat="1" applyFont="1" applyBorder="1" applyAlignment="1" applyProtection="1">
      <alignment horizontal="center" vertical="center" wrapText="1"/>
    </xf>
    <xf numFmtId="3" fontId="10" fillId="0" borderId="26" xfId="5" applyNumberFormat="1" applyFont="1" applyBorder="1" applyAlignment="1" applyProtection="1">
      <alignment horizontal="center" vertical="center" wrapText="1"/>
    </xf>
    <xf numFmtId="164" fontId="10" fillId="0" borderId="28" xfId="5" applyNumberFormat="1" applyFont="1" applyBorder="1" applyAlignment="1" applyProtection="1">
      <alignment horizontal="center" vertical="center" wrapText="1"/>
    </xf>
    <xf numFmtId="0" fontId="5" fillId="0" borderId="26" xfId="4" applyFont="1" applyBorder="1" applyAlignment="1" applyProtection="1">
      <alignment horizontal="center" vertical="center" wrapText="1"/>
    </xf>
    <xf numFmtId="167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 wrapText="1"/>
    </xf>
    <xf numFmtId="168" fontId="10" fillId="0" borderId="8" xfId="5" applyNumberFormat="1" applyFont="1" applyBorder="1" applyAlignment="1" applyProtection="1">
      <alignment horizontal="center" vertical="center" wrapText="1"/>
    </xf>
    <xf numFmtId="168" fontId="10" fillId="0" borderId="29" xfId="5" applyNumberFormat="1" applyFont="1" applyBorder="1" applyAlignment="1" applyProtection="1">
      <alignment horizontal="center" vertical="center"/>
    </xf>
    <xf numFmtId="168" fontId="10" fillId="0" borderId="27" xfId="5" applyNumberFormat="1" applyFont="1" applyBorder="1" applyAlignment="1" applyProtection="1">
      <alignment horizontal="center" vertical="center"/>
    </xf>
    <xf numFmtId="168" fontId="10" fillId="0" borderId="26" xfId="5" applyNumberFormat="1" applyFont="1" applyBorder="1" applyAlignment="1" applyProtection="1">
      <alignment horizontal="center" vertical="center"/>
    </xf>
    <xf numFmtId="168" fontId="10" fillId="0" borderId="28" xfId="5" applyNumberFormat="1" applyFont="1" applyBorder="1" applyAlignment="1" applyProtection="1">
      <alignment horizontal="center" vertical="center"/>
    </xf>
    <xf numFmtId="168" fontId="10" fillId="0" borderId="11" xfId="5" applyNumberFormat="1" applyFont="1" applyBorder="1" applyAlignment="1" applyProtection="1">
      <alignment horizontal="center" vertical="center"/>
    </xf>
    <xf numFmtId="0" fontId="0" fillId="0" borderId="7" xfId="5" applyFont="1" applyBorder="1" applyAlignment="1" applyProtection="1"/>
    <xf numFmtId="166" fontId="0" fillId="0" borderId="7" xfId="0" applyNumberFormat="1" applyFont="1" applyBorder="1" applyAlignment="1" applyProtection="1"/>
    <xf numFmtId="166" fontId="0" fillId="0" borderId="8" xfId="0" applyNumberFormat="1" applyFont="1" applyBorder="1" applyAlignment="1" applyProtection="1"/>
    <xf numFmtId="166" fontId="0" fillId="0" borderId="11" xfId="0" applyNumberFormat="1" applyFont="1" applyBorder="1" applyAlignment="1" applyProtection="1"/>
    <xf numFmtId="164" fontId="10" fillId="0" borderId="7" xfId="5" applyNumberFormat="1" applyFont="1" applyBorder="1" applyAlignment="1" applyProtection="1">
      <alignment horizontal="center" vertical="center"/>
    </xf>
    <xf numFmtId="164" fontId="10" fillId="0" borderId="8" xfId="5" applyNumberFormat="1" applyFont="1" applyBorder="1" applyAlignment="1" applyProtection="1">
      <alignment horizontal="center" vertical="center"/>
    </xf>
    <xf numFmtId="164" fontId="0" fillId="0" borderId="0" xfId="0" applyNumberFormat="1" applyFont="1" applyBorder="1" applyAlignment="1" applyProtection="1"/>
    <xf numFmtId="168" fontId="10" fillId="0" borderId="8" xfId="5" applyNumberFormat="1" applyFont="1" applyBorder="1" applyAlignment="1" applyProtection="1">
      <alignment horizontal="center" vertical="center"/>
    </xf>
    <xf numFmtId="166" fontId="10" fillId="0" borderId="9" xfId="5" applyNumberFormat="1" applyFont="1" applyBorder="1" applyAlignment="1" applyProtection="1">
      <alignment horizontal="center" vertical="center" wrapText="1"/>
    </xf>
    <xf numFmtId="166" fontId="10" fillId="0" borderId="11" xfId="5" applyNumberFormat="1" applyFont="1" applyBorder="1" applyAlignment="1" applyProtection="1">
      <alignment horizontal="center" vertical="center" wrapText="1"/>
    </xf>
    <xf numFmtId="4" fontId="10" fillId="0" borderId="7" xfId="5" applyNumberFormat="1" applyFont="1" applyBorder="1" applyAlignment="1" applyProtection="1">
      <alignment horizontal="center" vertical="center" wrapText="1"/>
    </xf>
    <xf numFmtId="164" fontId="4" fillId="0" borderId="7" xfId="5" applyNumberFormat="1" applyFont="1" applyBorder="1" applyAlignment="1" applyProtection="1">
      <alignment horizontal="center" vertical="center"/>
    </xf>
    <xf numFmtId="164" fontId="15" fillId="0" borderId="26" xfId="0" applyNumberFormat="1" applyFont="1" applyBorder="1" applyAlignment="1" applyProtection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</xf>
    <xf numFmtId="0" fontId="4" fillId="0" borderId="11" xfId="5" applyFont="1" applyBorder="1" applyAlignment="1" applyProtection="1">
      <alignment vertical="center" wrapText="1"/>
    </xf>
    <xf numFmtId="165" fontId="10" fillId="0" borderId="9" xfId="5" applyNumberFormat="1" applyFont="1" applyBorder="1" applyAlignment="1" applyProtection="1">
      <alignment horizontal="center" vertical="center"/>
    </xf>
    <xf numFmtId="165" fontId="10" fillId="0" borderId="7" xfId="5" applyNumberFormat="1" applyFont="1" applyBorder="1" applyAlignment="1" applyProtection="1">
      <alignment horizontal="center" vertical="center"/>
    </xf>
    <xf numFmtId="3" fontId="10" fillId="0" borderId="31" xfId="5" applyNumberFormat="1" applyFont="1" applyBorder="1" applyAlignment="1" applyProtection="1">
      <alignment horizontal="center" vertical="center" wrapText="1"/>
    </xf>
    <xf numFmtId="170" fontId="4" fillId="0" borderId="9" xfId="5" applyNumberFormat="1" applyFont="1" applyBorder="1" applyAlignment="1" applyProtection="1">
      <alignment horizontal="center" vertical="center"/>
    </xf>
    <xf numFmtId="170" fontId="4" fillId="0" borderId="7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/>
    </xf>
    <xf numFmtId="164" fontId="4" fillId="0" borderId="31" xfId="5" applyNumberFormat="1" applyFont="1" applyBorder="1" applyAlignment="1" applyProtection="1">
      <alignment horizontal="center" vertical="center"/>
    </xf>
    <xf numFmtId="0" fontId="10" fillId="0" borderId="11" xfId="4" applyFont="1" applyBorder="1" applyAlignment="1" applyProtection="1">
      <alignment horizontal="left" vertical="center" wrapText="1"/>
    </xf>
    <xf numFmtId="164" fontId="0" fillId="0" borderId="7" xfId="5" applyNumberFormat="1" applyFont="1" applyBorder="1" applyAlignment="1" applyProtection="1"/>
    <xf numFmtId="3" fontId="10" fillId="0" borderId="8" xfId="5" applyNumberFormat="1" applyFont="1" applyBorder="1" applyAlignment="1" applyProtection="1">
      <alignment horizontal="center" vertical="center" wrapText="1"/>
    </xf>
    <xf numFmtId="171" fontId="10" fillId="0" borderId="9" xfId="5" applyNumberFormat="1" applyFont="1" applyBorder="1" applyAlignment="1" applyProtection="1">
      <alignment horizontal="center" vertical="center"/>
    </xf>
    <xf numFmtId="3" fontId="4" fillId="0" borderId="7" xfId="5" applyNumberFormat="1" applyFont="1" applyBorder="1" applyAlignment="1" applyProtection="1">
      <alignment horizontal="center" vertical="center"/>
    </xf>
    <xf numFmtId="0" fontId="10" fillId="0" borderId="30" xfId="5" applyFont="1" applyBorder="1" applyAlignment="1" applyProtection="1">
      <alignment horizontal="center" vertical="center" wrapText="1"/>
    </xf>
    <xf numFmtId="166" fontId="16" fillId="0" borderId="7" xfId="0" applyNumberFormat="1" applyFont="1" applyBorder="1" applyAlignment="1" applyProtection="1"/>
    <xf numFmtId="166" fontId="16" fillId="0" borderId="8" xfId="0" applyNumberFormat="1" applyFont="1" applyBorder="1" applyAlignment="1" applyProtection="1"/>
    <xf numFmtId="166" fontId="16" fillId="0" borderId="9" xfId="0" applyNumberFormat="1" applyFont="1" applyBorder="1" applyAlignment="1" applyProtection="1"/>
    <xf numFmtId="166" fontId="16" fillId="0" borderId="11" xfId="0" applyNumberFormat="1" applyFont="1" applyBorder="1" applyAlignment="1" applyProtection="1"/>
    <xf numFmtId="164" fontId="0" fillId="0" borderId="7" xfId="0" applyNumberFormat="1" applyFont="1" applyBorder="1" applyAlignment="1" applyProtection="1"/>
    <xf numFmtId="164" fontId="0" fillId="0" borderId="11" xfId="0" applyNumberFormat="1" applyFont="1" applyBorder="1" applyAlignment="1" applyProtection="1"/>
    <xf numFmtId="164" fontId="0" fillId="0" borderId="8" xfId="0" applyNumberFormat="1" applyFont="1" applyBorder="1" applyAlignment="1" applyProtection="1"/>
    <xf numFmtId="0" fontId="8" fillId="0" borderId="7" xfId="0" applyFont="1" applyBorder="1" applyAlignment="1" applyProtection="1"/>
    <xf numFmtId="168" fontId="4" fillId="0" borderId="8" xfId="5" applyNumberFormat="1" applyFont="1" applyBorder="1" applyAlignment="1" applyProtection="1">
      <alignment horizontal="center" vertical="center"/>
    </xf>
    <xf numFmtId="165" fontId="10" fillId="0" borderId="7" xfId="5" applyNumberFormat="1" applyFont="1" applyBorder="1" applyAlignment="1" applyProtection="1">
      <alignment horizontal="center" vertical="center" wrapText="1"/>
    </xf>
    <xf numFmtId="164" fontId="10" fillId="0" borderId="7" xfId="4" applyNumberFormat="1" applyFont="1" applyBorder="1" applyAlignment="1" applyProtection="1">
      <alignment horizontal="center" vertical="center" wrapText="1"/>
    </xf>
    <xf numFmtId="164" fontId="10" fillId="0" borderId="0" xfId="5" applyNumberFormat="1" applyFont="1" applyBorder="1" applyAlignment="1" applyProtection="1">
      <alignment horizontal="center" vertical="center" wrapText="1"/>
    </xf>
    <xf numFmtId="166" fontId="0" fillId="0" borderId="32" xfId="0" applyNumberFormat="1" applyFont="1" applyBorder="1" applyAlignment="1" applyProtection="1"/>
    <xf numFmtId="168" fontId="4" fillId="0" borderId="7" xfId="5" applyNumberFormat="1" applyFont="1" applyBorder="1" applyAlignment="1" applyProtection="1">
      <alignment horizontal="center" vertical="center" wrapText="1"/>
    </xf>
    <xf numFmtId="164" fontId="10" fillId="0" borderId="8" xfId="4" applyNumberFormat="1" applyFont="1" applyBorder="1" applyAlignment="1" applyProtection="1">
      <alignment horizontal="center" vertical="center" wrapText="1"/>
    </xf>
    <xf numFmtId="165" fontId="4" fillId="0" borderId="7" xfId="5" applyNumberFormat="1" applyFont="1" applyBorder="1" applyAlignment="1" applyProtection="1">
      <alignment horizontal="center" vertical="center" wrapText="1"/>
    </xf>
    <xf numFmtId="164" fontId="4" fillId="0" borderId="7" xfId="4" applyNumberFormat="1" applyFont="1" applyBorder="1" applyAlignment="1" applyProtection="1">
      <alignment horizontal="center" vertical="center" wrapText="1"/>
    </xf>
    <xf numFmtId="164" fontId="4" fillId="0" borderId="8" xfId="4" applyNumberFormat="1" applyFont="1" applyBorder="1" applyAlignment="1" applyProtection="1">
      <alignment horizontal="center" vertical="center" wrapText="1"/>
    </xf>
    <xf numFmtId="171" fontId="4" fillId="0" borderId="7" xfId="5" applyNumberFormat="1" applyFont="1" applyBorder="1" applyAlignment="1" applyProtection="1">
      <alignment horizontal="center" vertical="center" wrapText="1"/>
    </xf>
    <xf numFmtId="166" fontId="10" fillId="0" borderId="32" xfId="5" applyNumberFormat="1" applyFont="1" applyBorder="1" applyAlignment="1" applyProtection="1">
      <alignment horizontal="center" vertical="center" wrapText="1"/>
    </xf>
    <xf numFmtId="164" fontId="10" fillId="0" borderId="32" xfId="5" applyNumberFormat="1" applyFont="1" applyBorder="1" applyAlignment="1" applyProtection="1">
      <alignment horizontal="center" vertical="center" wrapText="1"/>
    </xf>
    <xf numFmtId="0" fontId="0" fillId="0" borderId="33" xfId="0" applyFont="1" applyBorder="1" applyAlignment="1" applyProtection="1"/>
    <xf numFmtId="166" fontId="10" fillId="0" borderId="8" xfId="5" applyNumberFormat="1" applyFont="1" applyBorder="1" applyAlignment="1" applyProtection="1">
      <alignment horizontal="center" vertical="center" wrapText="1"/>
    </xf>
    <xf numFmtId="166" fontId="4" fillId="0" borderId="11" xfId="5" applyNumberFormat="1" applyFont="1" applyBorder="1" applyAlignment="1" applyProtection="1">
      <alignment horizontal="center" vertical="center" wrapText="1"/>
    </xf>
    <xf numFmtId="164" fontId="0" fillId="0" borderId="0" xfId="0" applyNumberFormat="1" applyFont="1" applyAlignment="1" applyProtection="1"/>
    <xf numFmtId="3" fontId="4" fillId="0" borderId="7" xfId="4" applyNumberFormat="1" applyFont="1" applyBorder="1" applyAlignment="1" applyProtection="1">
      <alignment horizontal="center" vertical="center" wrapText="1"/>
    </xf>
    <xf numFmtId="3" fontId="4" fillId="0" borderId="8" xfId="4" applyNumberFormat="1" applyFont="1" applyBorder="1" applyAlignment="1" applyProtection="1">
      <alignment horizontal="center" vertical="center" wrapText="1"/>
    </xf>
    <xf numFmtId="4" fontId="4" fillId="0" borderId="7" xfId="5" applyNumberFormat="1" applyFont="1" applyBorder="1" applyAlignment="1" applyProtection="1">
      <alignment horizontal="center" vertical="center" wrapText="1"/>
    </xf>
    <xf numFmtId="4" fontId="4" fillId="0" borderId="8" xfId="5" applyNumberFormat="1" applyFont="1" applyBorder="1" applyAlignment="1" applyProtection="1">
      <alignment horizontal="center" vertical="center" wrapText="1"/>
    </xf>
    <xf numFmtId="165" fontId="0" fillId="0" borderId="0" xfId="0" applyNumberFormat="1" applyFont="1" applyAlignment="1" applyProtection="1"/>
    <xf numFmtId="0" fontId="4" fillId="0" borderId="26" xfId="5" applyFont="1" applyBorder="1" applyAlignment="1" applyProtection="1">
      <alignment vertical="center" wrapText="1"/>
    </xf>
    <xf numFmtId="2" fontId="10" fillId="0" borderId="7" xfId="5" applyNumberFormat="1" applyFont="1" applyBorder="1" applyAlignment="1" applyProtection="1">
      <alignment horizontal="center" vertical="center"/>
    </xf>
    <xf numFmtId="2" fontId="10" fillId="0" borderId="9" xfId="5" applyNumberFormat="1" applyFont="1" applyBorder="1" applyAlignment="1" applyProtection="1">
      <alignment horizontal="center" vertical="center"/>
    </xf>
    <xf numFmtId="0" fontId="18" fillId="0" borderId="11" xfId="5" applyFont="1" applyBorder="1" applyAlignment="1" applyProtection="1">
      <alignment vertical="center" wrapText="1"/>
    </xf>
    <xf numFmtId="166" fontId="18" fillId="0" borderId="7" xfId="5" applyNumberFormat="1" applyFont="1" applyBorder="1" applyAlignment="1" applyProtection="1">
      <alignment horizontal="center" vertical="center" wrapText="1"/>
    </xf>
    <xf numFmtId="4" fontId="19" fillId="0" borderId="7" xfId="5" applyNumberFormat="1" applyFont="1" applyBorder="1" applyAlignment="1" applyProtection="1">
      <alignment horizontal="center" vertical="center" wrapText="1"/>
    </xf>
    <xf numFmtId="164" fontId="18" fillId="0" borderId="7" xfId="5" applyNumberFormat="1" applyFont="1" applyBorder="1" applyAlignment="1" applyProtection="1">
      <alignment horizontal="center" vertical="center" wrapText="1"/>
    </xf>
    <xf numFmtId="0" fontId="4" fillId="0" borderId="34" xfId="5" applyFont="1" applyBorder="1" applyAlignment="1" applyProtection="1">
      <alignment horizontal="center" vertical="center" wrapText="1"/>
    </xf>
    <xf numFmtId="0" fontId="18" fillId="0" borderId="13" xfId="5" applyFont="1" applyBorder="1" applyAlignment="1" applyProtection="1">
      <alignment vertical="center" wrapText="1"/>
    </xf>
    <xf numFmtId="166" fontId="18" fillId="0" borderId="10" xfId="5" applyNumberFormat="1" applyFont="1" applyBorder="1" applyAlignment="1" applyProtection="1">
      <alignment horizontal="center" vertical="center" wrapText="1"/>
    </xf>
    <xf numFmtId="4" fontId="19" fillId="0" borderId="10" xfId="5" applyNumberFormat="1" applyFont="1" applyBorder="1" applyAlignment="1" applyProtection="1">
      <alignment horizontal="center" vertical="center" wrapText="1"/>
    </xf>
    <xf numFmtId="164" fontId="18" fillId="0" borderId="10" xfId="5" applyNumberFormat="1" applyFont="1" applyBorder="1" applyAlignment="1" applyProtection="1">
      <alignment horizontal="center" vertical="center" wrapText="1"/>
    </xf>
    <xf numFmtId="164" fontId="10" fillId="0" borderId="10" xfId="5" applyNumberFormat="1" applyFont="1" applyBorder="1" applyAlignment="1" applyProtection="1">
      <alignment horizontal="center" vertical="center" wrapText="1"/>
    </xf>
    <xf numFmtId="164" fontId="10" fillId="0" borderId="14" xfId="5" applyNumberFormat="1" applyFont="1" applyBorder="1" applyAlignment="1" applyProtection="1">
      <alignment horizontal="center" vertical="center" wrapText="1"/>
    </xf>
    <xf numFmtId="0" fontId="4" fillId="0" borderId="24" xfId="5" applyFont="1" applyBorder="1" applyAlignment="1" applyProtection="1">
      <alignment horizontal="center" vertical="center" wrapText="1"/>
    </xf>
    <xf numFmtId="0" fontId="18" fillId="0" borderId="7" xfId="5" applyFont="1" applyBorder="1" applyAlignment="1" applyProtection="1">
      <alignment vertical="center" wrapText="1"/>
    </xf>
    <xf numFmtId="0" fontId="4" fillId="0" borderId="35" xfId="5" applyFont="1" applyBorder="1" applyAlignment="1" applyProtection="1">
      <alignment horizontal="center" vertical="center" wrapText="1"/>
    </xf>
    <xf numFmtId="0" fontId="4" fillId="0" borderId="36" xfId="4" applyFont="1" applyBorder="1" applyAlignment="1" applyProtection="1">
      <alignment horizontal="left" vertical="center" wrapText="1"/>
    </xf>
    <xf numFmtId="166" fontId="4" fillId="0" borderId="36" xfId="5" applyNumberFormat="1" applyFont="1" applyBorder="1" applyAlignment="1" applyProtection="1">
      <alignment horizontal="center" vertical="center" wrapText="1"/>
    </xf>
    <xf numFmtId="4" fontId="10" fillId="0" borderId="36" xfId="5" applyNumberFormat="1" applyFont="1" applyBorder="1" applyAlignment="1" applyProtection="1">
      <alignment horizontal="center" vertical="center" wrapText="1"/>
    </xf>
    <xf numFmtId="164" fontId="4" fillId="0" borderId="36" xfId="5" applyNumberFormat="1" applyFont="1" applyBorder="1" applyAlignment="1" applyProtection="1">
      <alignment horizontal="center" vertical="center" wrapText="1"/>
    </xf>
    <xf numFmtId="164" fontId="10" fillId="0" borderId="36" xfId="5" applyNumberFormat="1" applyFont="1" applyBorder="1" applyAlignment="1" applyProtection="1">
      <alignment horizontal="center" vertical="center" wrapText="1"/>
    </xf>
    <xf numFmtId="172" fontId="0" fillId="0" borderId="0" xfId="0" applyNumberFormat="1" applyFont="1" applyAlignment="1" applyProtection="1"/>
    <xf numFmtId="164" fontId="4" fillId="0" borderId="7" xfId="5" applyNumberFormat="1" applyFont="1" applyFill="1" applyBorder="1" applyAlignment="1" applyProtection="1">
      <alignment horizontal="center" vertical="center" wrapText="1"/>
    </xf>
    <xf numFmtId="168" fontId="4" fillId="0" borderId="31" xfId="5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0" borderId="0" xfId="0" applyFont="1" applyAlignment="1" applyProtection="1"/>
    <xf numFmtId="166" fontId="4" fillId="0" borderId="7" xfId="5" applyNumberFormat="1" applyFont="1" applyFill="1" applyBorder="1" applyAlignment="1" applyProtection="1">
      <alignment horizontal="center" vertical="center" wrapText="1"/>
    </xf>
    <xf numFmtId="171" fontId="4" fillId="0" borderId="7" xfId="5" applyNumberFormat="1" applyFont="1" applyFill="1" applyBorder="1" applyAlignment="1" applyProtection="1">
      <alignment horizontal="center" vertical="center" wrapText="1"/>
    </xf>
    <xf numFmtId="0" fontId="4" fillId="0" borderId="38" xfId="5" applyFont="1" applyBorder="1" applyAlignment="1" applyProtection="1">
      <alignment horizontal="center" vertical="center" wrapText="1"/>
    </xf>
    <xf numFmtId="0" fontId="4" fillId="0" borderId="7" xfId="4" applyFont="1" applyBorder="1" applyAlignment="1" applyProtection="1">
      <alignment horizontal="left" vertical="center" wrapText="1"/>
    </xf>
    <xf numFmtId="164" fontId="4" fillId="0" borderId="10" xfId="5" applyNumberFormat="1" applyFont="1" applyBorder="1" applyAlignment="1" applyProtection="1">
      <alignment horizontal="center" vertical="center" wrapText="1"/>
    </xf>
    <xf numFmtId="166" fontId="4" fillId="0" borderId="10" xfId="5" applyNumberFormat="1" applyFont="1" applyBorder="1" applyAlignment="1" applyProtection="1">
      <alignment horizontal="center" vertical="center" wrapText="1"/>
    </xf>
    <xf numFmtId="164" fontId="4" fillId="0" borderId="37" xfId="5" applyNumberFormat="1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164" fontId="4" fillId="0" borderId="7" xfId="4" applyNumberFormat="1" applyFont="1" applyFill="1" applyBorder="1" applyAlignment="1" applyProtection="1">
      <alignment horizontal="center" vertical="center" wrapText="1"/>
    </xf>
    <xf numFmtId="164" fontId="21" fillId="0" borderId="7" xfId="0" applyNumberFormat="1" applyFont="1" applyBorder="1" applyAlignment="1" applyProtection="1"/>
    <xf numFmtId="164" fontId="10" fillId="0" borderId="7" xfId="5" applyNumberFormat="1" applyFont="1" applyFill="1" applyBorder="1" applyAlignment="1" applyProtection="1">
      <alignment horizontal="center" vertical="center" wrapText="1"/>
    </xf>
    <xf numFmtId="166" fontId="0" fillId="0" borderId="9" xfId="0" applyNumberFormat="1" applyFont="1" applyFill="1" applyBorder="1" applyAlignment="1" applyProtection="1"/>
    <xf numFmtId="164" fontId="4" fillId="0" borderId="11" xfId="5" applyNumberFormat="1" applyFont="1" applyFill="1" applyBorder="1" applyAlignment="1" applyProtection="1">
      <alignment horizontal="center" vertical="center" wrapText="1"/>
    </xf>
    <xf numFmtId="169" fontId="4" fillId="0" borderId="7" xfId="5" applyNumberFormat="1" applyFont="1" applyFill="1" applyBorder="1" applyAlignment="1" applyProtection="1">
      <alignment horizontal="center" vertical="center" wrapText="1"/>
    </xf>
    <xf numFmtId="0" fontId="4" fillId="0" borderId="11" xfId="4" applyFont="1" applyFill="1" applyBorder="1" applyAlignment="1" applyProtection="1">
      <alignment horizontal="left" vertical="center" wrapText="1"/>
    </xf>
    <xf numFmtId="166" fontId="4" fillId="0" borderId="10" xfId="5" applyNumberFormat="1" applyFont="1" applyFill="1" applyBorder="1" applyAlignment="1" applyProtection="1">
      <alignment horizontal="center" vertical="center" wrapText="1"/>
    </xf>
    <xf numFmtId="166" fontId="0" fillId="0" borderId="40" xfId="0" applyNumberFormat="1" applyFont="1" applyFill="1" applyBorder="1" applyAlignment="1" applyProtection="1"/>
    <xf numFmtId="164" fontId="4" fillId="0" borderId="10" xfId="5" applyNumberFormat="1" applyFont="1" applyFill="1" applyBorder="1" applyAlignment="1" applyProtection="1">
      <alignment horizontal="center" vertical="center" wrapText="1"/>
    </xf>
    <xf numFmtId="164" fontId="4" fillId="0" borderId="13" xfId="5" applyNumberFormat="1" applyFont="1" applyFill="1" applyBorder="1" applyAlignment="1" applyProtection="1">
      <alignment horizontal="center" vertical="center" wrapText="1"/>
    </xf>
    <xf numFmtId="164" fontId="10" fillId="0" borderId="10" xfId="5" applyNumberFormat="1" applyFont="1" applyFill="1" applyBorder="1" applyAlignment="1" applyProtection="1">
      <alignment horizontal="center" vertical="center" wrapText="1"/>
    </xf>
    <xf numFmtId="166" fontId="0" fillId="0" borderId="7" xfId="0" applyNumberFormat="1" applyFont="1" applyFill="1" applyBorder="1" applyAlignment="1" applyProtection="1"/>
    <xf numFmtId="0" fontId="4" fillId="0" borderId="26" xfId="4" applyFont="1" applyFill="1" applyBorder="1" applyAlignment="1" applyProtection="1">
      <alignment horizontal="left" vertical="center" wrapText="1"/>
    </xf>
    <xf numFmtId="4" fontId="24" fillId="2" borderId="7" xfId="0" applyNumberFormat="1" applyFont="1" applyFill="1" applyBorder="1" applyAlignment="1" applyProtection="1">
      <alignment horizontal="center" vertical="center"/>
    </xf>
    <xf numFmtId="0" fontId="4" fillId="0" borderId="30" xfId="5" applyFont="1" applyFill="1" applyBorder="1" applyAlignment="1" applyProtection="1">
      <alignment horizontal="center" vertical="center" wrapText="1"/>
    </xf>
    <xf numFmtId="0" fontId="10" fillId="0" borderId="11" xfId="4" applyFont="1" applyFill="1" applyBorder="1" applyAlignment="1" applyProtection="1">
      <alignment horizontal="left" vertical="center" wrapText="1"/>
    </xf>
    <xf numFmtId="171" fontId="26" fillId="0" borderId="39" xfId="0" applyNumberFormat="1" applyFont="1" applyFill="1" applyBorder="1" applyAlignment="1" applyProtection="1">
      <alignment horizontal="center" vertical="center" wrapText="1"/>
    </xf>
    <xf numFmtId="4" fontId="24" fillId="0" borderId="39" xfId="0" applyNumberFormat="1" applyFont="1" applyFill="1" applyBorder="1" applyAlignment="1" applyProtection="1">
      <alignment horizontal="center" vertical="center"/>
    </xf>
    <xf numFmtId="171" fontId="4" fillId="0" borderId="39" xfId="0" applyNumberFormat="1" applyFont="1" applyFill="1" applyBorder="1" applyAlignment="1" applyProtection="1">
      <alignment horizontal="center" vertical="center"/>
    </xf>
    <xf numFmtId="0" fontId="4" fillId="0" borderId="34" xfId="5" applyFont="1" applyFill="1" applyBorder="1" applyAlignment="1" applyProtection="1">
      <alignment horizontal="center" vertical="center" wrapText="1"/>
    </xf>
    <xf numFmtId="0" fontId="4" fillId="0" borderId="13" xfId="4" applyFont="1" applyFill="1" applyBorder="1" applyAlignment="1" applyProtection="1">
      <alignment horizontal="left" vertical="center" wrapText="1"/>
    </xf>
    <xf numFmtId="171" fontId="23" fillId="0" borderId="41" xfId="0" applyNumberFormat="1" applyFont="1" applyFill="1" applyBorder="1" applyAlignment="1" applyProtection="1">
      <alignment horizontal="center" vertical="center" wrapText="1"/>
    </xf>
    <xf numFmtId="4" fontId="25" fillId="0" borderId="41" xfId="0" applyNumberFormat="1" applyFont="1" applyFill="1" applyBorder="1" applyAlignment="1" applyProtection="1">
      <alignment horizontal="center" vertical="center" wrapText="1"/>
    </xf>
    <xf numFmtId="171" fontId="23" fillId="0" borderId="7" xfId="0" applyNumberFormat="1" applyFont="1" applyFill="1" applyBorder="1" applyAlignment="1" applyProtection="1">
      <alignment horizontal="center" vertical="center" wrapText="1"/>
    </xf>
    <xf numFmtId="4" fontId="25" fillId="0" borderId="7" xfId="0" applyNumberFormat="1" applyFont="1" applyFill="1" applyBorder="1" applyAlignment="1" applyProtection="1">
      <alignment horizontal="center" vertical="center" wrapText="1"/>
    </xf>
    <xf numFmtId="0" fontId="4" fillId="0" borderId="25" xfId="5" applyFont="1" applyFill="1" applyBorder="1" applyAlignment="1" applyProtection="1">
      <alignment horizontal="center" vertical="center" wrapText="1"/>
    </xf>
    <xf numFmtId="4" fontId="24" fillId="0" borderId="39" xfId="0" applyNumberFormat="1" applyFont="1" applyFill="1" applyBorder="1" applyAlignment="1" applyProtection="1">
      <alignment horizontal="center" vertical="center" wrapText="1"/>
    </xf>
    <xf numFmtId="170" fontId="10" fillId="0" borderId="0" xfId="5" applyNumberFormat="1" applyFont="1" applyFill="1" applyBorder="1" applyAlignment="1" applyProtection="1">
      <alignment horizontal="center" vertical="center"/>
    </xf>
    <xf numFmtId="164" fontId="4" fillId="0" borderId="14" xfId="5" applyNumberFormat="1" applyFont="1" applyFill="1" applyBorder="1" applyAlignment="1" applyProtection="1">
      <alignment horizontal="center" vertical="center" wrapText="1"/>
    </xf>
    <xf numFmtId="0" fontId="4" fillId="0" borderId="24" xfId="5" applyFont="1" applyFill="1" applyBorder="1" applyAlignment="1" applyProtection="1">
      <alignment horizontal="center" vertical="center" wrapText="1"/>
    </xf>
    <xf numFmtId="164" fontId="4" fillId="0" borderId="8" xfId="5" applyNumberFormat="1" applyFont="1" applyFill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4" fontId="24" fillId="2" borderId="42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5" applyFont="1" applyBorder="1" applyAlignment="1" applyProtection="1">
      <alignment horizontal="center" vertical="center"/>
    </xf>
    <xf numFmtId="0" fontId="6" fillId="0" borderId="0" xfId="5" applyFont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3" xfId="5" applyFont="1" applyBorder="1" applyAlignment="1" applyProtection="1">
      <alignment horizontal="center" vertical="center" wrapText="1"/>
    </xf>
    <xf numFmtId="0" fontId="7" fillId="0" borderId="4" xfId="5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9" xfId="5" applyFont="1" applyBorder="1" applyAlignment="1" applyProtection="1">
      <alignment horizontal="center" vertical="center" wrapText="1"/>
    </xf>
    <xf numFmtId="0" fontId="7" fillId="0" borderId="10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5" fillId="0" borderId="23" xfId="5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right" vertical="center"/>
    </xf>
    <xf numFmtId="0" fontId="10" fillId="0" borderId="0" xfId="0" applyFont="1" applyBorder="1" applyAlignment="1" applyProtection="1">
      <alignment horizontal="left" vertical="center" wrapText="1"/>
    </xf>
  </cellXfs>
  <cellStyles count="7">
    <cellStyle name="Обычный" xfId="0" builtinId="0"/>
    <cellStyle name="Обычный 15" xfId="1"/>
    <cellStyle name="Обычный 2" xfId="2"/>
    <cellStyle name="Обычный_219-пп_Приложение 2" xfId="3"/>
    <cellStyle name="Обычный_ВЫПОЛНЕНИЕ программы ИЖС-2010 год" xfId="4"/>
    <cellStyle name="Стиль 1" xfId="5"/>
    <cellStyle name="Стиль 1 2" xfId="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B08BC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292"/>
  <sheetViews>
    <sheetView tabSelected="1" view="pageBreakPreview" topLeftCell="A253" zoomScale="75" zoomScaleNormal="75" zoomScalePageLayoutView="75" workbookViewId="0">
      <selection activeCell="B130" sqref="B130"/>
    </sheetView>
  </sheetViews>
  <sheetFormatPr defaultColWidth="9.140625" defaultRowHeight="18.75"/>
  <cols>
    <col min="1" max="1" width="6.5703125" style="1" customWidth="1"/>
    <col min="2" max="2" width="59.28515625" style="2" customWidth="1"/>
    <col min="3" max="4" width="12" style="2" customWidth="1"/>
    <col min="5" max="5" width="17" style="2" customWidth="1"/>
    <col min="6" max="6" width="18.5703125" style="2" customWidth="1"/>
    <col min="7" max="7" width="15.7109375" style="2" customWidth="1"/>
    <col min="8" max="8" width="12.28515625" style="2" customWidth="1"/>
    <col min="9" max="9" width="9.85546875" style="2" customWidth="1"/>
    <col min="10" max="10" width="18.5703125" style="2" customWidth="1"/>
    <col min="11" max="11" width="19.5703125" style="2" customWidth="1"/>
    <col min="12" max="12" width="15.5703125" style="2" bestFit="1" customWidth="1"/>
    <col min="13" max="14" width="10.28515625" style="2" customWidth="1"/>
    <col min="15" max="16" width="17.140625" style="2" customWidth="1"/>
    <col min="17" max="17" width="14.7109375" style="2" customWidth="1"/>
    <col min="18" max="18" width="9" style="2" hidden="1" customWidth="1"/>
    <col min="19" max="19" width="9.7109375" style="2" hidden="1" customWidth="1"/>
    <col min="20" max="21" width="15.5703125" style="2" hidden="1" customWidth="1"/>
    <col min="22" max="22" width="12.7109375" style="2" hidden="1" customWidth="1"/>
    <col min="23" max="23" width="16.5703125" style="2" customWidth="1"/>
    <col min="24" max="24" width="14.42578125" style="2" customWidth="1"/>
    <col min="25" max="25" width="9.140625" style="2"/>
    <col min="26" max="26" width="17" style="2" customWidth="1"/>
    <col min="27" max="38" width="9.140625" style="2"/>
    <col min="39" max="42" width="9.140625" style="3"/>
    <col min="43" max="16384" width="9.140625" style="4"/>
  </cols>
  <sheetData>
    <row r="1" spans="1:44" ht="83.25" customHeight="1">
      <c r="A1" s="5"/>
      <c r="B1" s="6"/>
      <c r="C1" s="7"/>
      <c r="D1" s="7"/>
      <c r="E1" s="7"/>
      <c r="F1" s="7"/>
      <c r="G1" s="7"/>
      <c r="H1" s="8"/>
      <c r="I1" s="9"/>
      <c r="J1" s="9"/>
      <c r="K1" s="223" t="s">
        <v>216</v>
      </c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4" ht="22.5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4" ht="42" customHeight="1">
      <c r="A3" s="225" t="s">
        <v>0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4" ht="21" customHeight="1" thickBot="1">
      <c r="A4" s="5"/>
      <c r="B4" s="6"/>
      <c r="C4" s="10"/>
      <c r="D4" s="10"/>
      <c r="E4" s="10"/>
      <c r="F4" s="10"/>
      <c r="G4" s="10"/>
      <c r="H4" s="10"/>
      <c r="I4" s="10"/>
      <c r="J4" s="10"/>
      <c r="K4" s="10"/>
      <c r="L4" s="11"/>
      <c r="M4" s="11"/>
      <c r="N4" s="11"/>
      <c r="O4" s="11"/>
      <c r="P4" s="11"/>
      <c r="Q4" s="11"/>
      <c r="R4" s="12"/>
      <c r="S4" s="12"/>
      <c r="T4" s="12"/>
      <c r="U4" s="12"/>
      <c r="V4" s="12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4" s="13" customFormat="1" ht="27.75" customHeight="1" thickBot="1">
      <c r="A5" s="226" t="s">
        <v>279</v>
      </c>
      <c r="B5" s="227" t="s">
        <v>1</v>
      </c>
      <c r="C5" s="228" t="s">
        <v>2</v>
      </c>
      <c r="D5" s="228"/>
      <c r="E5" s="228"/>
      <c r="F5" s="228"/>
      <c r="G5" s="228"/>
      <c r="H5" s="228" t="s">
        <v>3</v>
      </c>
      <c r="I5" s="228"/>
      <c r="J5" s="228"/>
      <c r="K5" s="228"/>
      <c r="L5" s="228"/>
      <c r="M5" s="229" t="s">
        <v>4</v>
      </c>
      <c r="N5" s="229"/>
      <c r="O5" s="229"/>
      <c r="P5" s="229"/>
      <c r="Q5" s="229"/>
      <c r="R5" s="230" t="s">
        <v>5</v>
      </c>
      <c r="S5" s="230"/>
      <c r="T5" s="230"/>
      <c r="U5" s="230"/>
      <c r="V5" s="230"/>
      <c r="W5" s="4"/>
      <c r="X5" s="4"/>
      <c r="Y5" s="4"/>
      <c r="Z5" s="4"/>
      <c r="AA5" s="4"/>
      <c r="AB5" s="4" t="s">
        <v>6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s="14" customFormat="1" ht="29.25" customHeight="1" thickBot="1">
      <c r="A6" s="226"/>
      <c r="B6" s="227"/>
      <c r="C6" s="234" t="s">
        <v>7</v>
      </c>
      <c r="D6" s="234"/>
      <c r="E6" s="234" t="s">
        <v>189</v>
      </c>
      <c r="F6" s="234" t="s">
        <v>8</v>
      </c>
      <c r="G6" s="234"/>
      <c r="H6" s="234" t="s">
        <v>7</v>
      </c>
      <c r="I6" s="234"/>
      <c r="J6" s="234" t="s">
        <v>191</v>
      </c>
      <c r="K6" s="234" t="s">
        <v>8</v>
      </c>
      <c r="L6" s="234"/>
      <c r="M6" s="234" t="s">
        <v>7</v>
      </c>
      <c r="N6" s="234"/>
      <c r="O6" s="234" t="s">
        <v>193</v>
      </c>
      <c r="P6" s="233" t="s">
        <v>8</v>
      </c>
      <c r="Q6" s="233"/>
      <c r="R6" s="231" t="s">
        <v>7</v>
      </c>
      <c r="S6" s="231"/>
      <c r="T6" s="232" t="s">
        <v>9</v>
      </c>
      <c r="U6" s="233" t="s">
        <v>8</v>
      </c>
      <c r="V6" s="233"/>
      <c r="W6" s="11"/>
      <c r="X6" s="11"/>
      <c r="Y6" s="11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s="14" customFormat="1" ht="70.5" customHeight="1" thickBot="1">
      <c r="A7" s="226"/>
      <c r="B7" s="227"/>
      <c r="C7" s="220" t="s">
        <v>10</v>
      </c>
      <c r="D7" s="220" t="s">
        <v>11</v>
      </c>
      <c r="E7" s="234"/>
      <c r="F7" s="220" t="s">
        <v>190</v>
      </c>
      <c r="G7" s="220" t="s">
        <v>12</v>
      </c>
      <c r="H7" s="220" t="s">
        <v>10</v>
      </c>
      <c r="I7" s="220" t="s">
        <v>11</v>
      </c>
      <c r="J7" s="234"/>
      <c r="K7" s="220" t="s">
        <v>192</v>
      </c>
      <c r="L7" s="220" t="s">
        <v>12</v>
      </c>
      <c r="M7" s="220" t="s">
        <v>10</v>
      </c>
      <c r="N7" s="220" t="s">
        <v>11</v>
      </c>
      <c r="O7" s="234"/>
      <c r="P7" s="15" t="s">
        <v>194</v>
      </c>
      <c r="Q7" s="219" t="s">
        <v>12</v>
      </c>
      <c r="R7" s="16" t="s">
        <v>10</v>
      </c>
      <c r="S7" s="16" t="s">
        <v>11</v>
      </c>
      <c r="T7" s="232"/>
      <c r="U7" s="17" t="s">
        <v>13</v>
      </c>
      <c r="V7" s="18" t="s">
        <v>12</v>
      </c>
      <c r="W7" s="11"/>
      <c r="X7" s="11"/>
      <c r="Y7" s="11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s="27" customFormat="1" ht="27.75" customHeight="1" thickBot="1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0">
        <v>11</v>
      </c>
      <c r="L8" s="20">
        <v>12</v>
      </c>
      <c r="M8" s="20">
        <v>13</v>
      </c>
      <c r="N8" s="20">
        <v>14</v>
      </c>
      <c r="O8" s="20">
        <v>15</v>
      </c>
      <c r="P8" s="21">
        <v>16</v>
      </c>
      <c r="Q8" s="22">
        <v>17</v>
      </c>
      <c r="R8" s="23">
        <v>22</v>
      </c>
      <c r="S8" s="23">
        <v>23</v>
      </c>
      <c r="T8" s="24">
        <v>24</v>
      </c>
      <c r="U8" s="25">
        <v>25</v>
      </c>
      <c r="V8" s="26">
        <v>26</v>
      </c>
      <c r="W8" s="11"/>
      <c r="X8" s="11"/>
      <c r="Y8" s="11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s="28" customFormat="1" ht="40.5" customHeight="1">
      <c r="A9" s="235" t="s">
        <v>14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5"/>
      <c r="S9" s="5"/>
      <c r="T9" s="5"/>
      <c r="U9" s="5"/>
      <c r="V9" s="5"/>
      <c r="W9" s="11"/>
      <c r="X9" s="11"/>
      <c r="Y9" s="11"/>
      <c r="Z9" s="11" t="s">
        <v>15</v>
      </c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s="28" customFormat="1" ht="35.25" customHeight="1">
      <c r="A10" s="29"/>
      <c r="B10" s="236" t="s">
        <v>16</v>
      </c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5"/>
      <c r="S10" s="5"/>
      <c r="T10" s="5"/>
      <c r="U10" s="5"/>
      <c r="V10" s="5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s="35" customFormat="1" ht="32.25" customHeight="1">
      <c r="A11" s="30"/>
      <c r="B11" s="31" t="s">
        <v>17</v>
      </c>
      <c r="C11" s="32">
        <f>C15+C29+C87+C94+C106+C120+C131+C135+C143+C153+C179+C190+C193+C207+C220+C228+C251+C261</f>
        <v>106.86970000000002</v>
      </c>
      <c r="D11" s="32">
        <f>D15+D29+D87+D94+D106+D120+D131+D135+D143+D153+D179+D190+D193+D207+D220+D251+D261</f>
        <v>0</v>
      </c>
      <c r="E11" s="32">
        <f>E15+E29+E87+E94+E106+E120+E131+E135+E143+E153+E179+E190+E193+E207+E220+E228+E251+E261</f>
        <v>1983674.0090299998</v>
      </c>
      <c r="F11" s="32">
        <f>F15+F29+F87+F94+F106+F120+F131+F135+F143+F153+F179+F190+F193+F207+F220+F228+F251+F261</f>
        <v>1860280.17</v>
      </c>
      <c r="G11" s="32">
        <f>G15+G29+G87+G94+G106+G120+G131+G135+G143+G153+G179+G190+G193+G207+G220+G228+G251+G261</f>
        <v>123393.83903000002</v>
      </c>
      <c r="H11" s="32">
        <f>H15+H29+H87+H94+H106+H120+H131+H135+H143+H153+H179+H190+H193+H207+H220+H251+H261</f>
        <v>90.834000000000017</v>
      </c>
      <c r="I11" s="32">
        <f>I15+I29+I87+I94+I106+I120+I131+I135+I143+I153+I179+I190+I193+I207+I220+I251+I261</f>
        <v>361</v>
      </c>
      <c r="J11" s="32">
        <f>J15+J29+J87+J94+J106+J120+J131+J135+J143+J153+J179+J190+J193+J207+J220+J251+J261+0.05</f>
        <v>1842591.1841950002</v>
      </c>
      <c r="K11" s="32">
        <f>K15+K29+K87+K94+K106+K120+K131+K135+K143+K153+K179+K190+K193+K207+K220+K251+K261</f>
        <v>1729764.4000032998</v>
      </c>
      <c r="L11" s="32">
        <f>L15+L29+L87+L94+L106+L120+L131+L135+L143+L153+L179+L190+L193+L207+L220+L251+L261+0.05</f>
        <v>112826.78419170003</v>
      </c>
      <c r="M11" s="32">
        <f>M15+M29+M87+M94+M106+M120+M131+M135+M143+M153+M179+M190+M193+M207+M220+M228+M249+M251+M261</f>
        <v>100.7253</v>
      </c>
      <c r="N11" s="32">
        <f>N15+N29+N87+N94+N106+N120+N131+N135+N143+N153+N179+N190+N193+N207+N220+N251+N261</f>
        <v>260</v>
      </c>
      <c r="O11" s="32">
        <f>O15+O29+O87+O94+O106+O120+O131+O135+O143+O153+O179+O190+O193+O207+O220+O228+O249+O251+O261</f>
        <v>2401387.5998199997</v>
      </c>
      <c r="P11" s="32">
        <f>P15+P29+P87+P94+P106+P120+P131+P135+P143+P153+P179+P190+P193+P207+P220+P228+P249+P251+P261</f>
        <v>2260580.8994999994</v>
      </c>
      <c r="Q11" s="33">
        <f>Q15+Q29+Q87+Q94+Q106+Q120+Q131+Q135+Q143+Q153+Q179+Q190+Q193+Q207+Q220+Q228+Q249+Q251+Q261</f>
        <v>140806.70032</v>
      </c>
      <c r="R11" s="34" t="e">
        <f>R15+R29+R87+R94+R104+R106+R120+R122+R131+R135+R143+R153+R179+R190+R193+R207+R218+R220+#REF!+#REF!+R251+R261</f>
        <v>#REF!</v>
      </c>
      <c r="S11" s="34" t="e">
        <f>S15+S29+S87+S94+S104+S106+S120+S122+S131+S135+S143+S153+S179+S190+S193+S207+S218+S220+#REF!+#REF!+S251+S261</f>
        <v>#REF!</v>
      </c>
      <c r="T11" s="34" t="e">
        <f>T15+T29+T87+T94+T104+T106+T120+T122+T131+T135+T143+T153+T179+T190+T193+T207+T218+T220+#REF!+#REF!+T251+T261</f>
        <v>#REF!</v>
      </c>
      <c r="U11" s="34" t="e">
        <f>U15+U29+U87+U94+U104+U106+U120+U122+U131+U135+U143+U153+U179+U190+U193+U207+U218+U220+#REF!+#REF!+U251+U261</f>
        <v>#REF!</v>
      </c>
      <c r="V11" s="34" t="e">
        <f>V15+V29+V87+V94+V104+V106+V120+V122+V131+V135+V143+V153+V179+V190+V193+V207+V218+V220+#REF!+#REF!+V251+V261</f>
        <v>#REF!</v>
      </c>
      <c r="W11" s="34"/>
      <c r="X11" s="34"/>
      <c r="Y11" s="34"/>
      <c r="Z11" s="34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ht="26.25" customHeight="1">
      <c r="A12" s="36"/>
      <c r="B12" s="37" t="s">
        <v>18</v>
      </c>
      <c r="C12" s="38"/>
      <c r="D12" s="38"/>
      <c r="E12" s="38"/>
      <c r="F12" s="38"/>
      <c r="G12" s="38"/>
      <c r="H12" s="39"/>
      <c r="I12" s="39"/>
      <c r="J12" s="39"/>
      <c r="K12" s="39"/>
      <c r="L12" s="39"/>
      <c r="M12" s="38"/>
      <c r="N12" s="38"/>
      <c r="O12" s="38"/>
      <c r="P12" s="38"/>
      <c r="Q12" s="40"/>
      <c r="R12" s="41"/>
      <c r="S12" s="41"/>
      <c r="T12" s="39"/>
      <c r="U12" s="42"/>
      <c r="V12" s="43"/>
      <c r="W12" s="11"/>
      <c r="X12" s="11"/>
      <c r="Y12" s="11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4" s="13" customFormat="1" ht="24.75" customHeight="1">
      <c r="A13" s="44"/>
      <c r="B13" s="45" t="s">
        <v>19</v>
      </c>
      <c r="C13" s="46"/>
      <c r="D13" s="46"/>
      <c r="E13" s="32"/>
      <c r="F13" s="32">
        <f>F15+F29+F87+F94+F106+F120+F131+F135+F143+F153+F179+F190+F193+F207+F220+F228+F251+F261</f>
        <v>1860280.17</v>
      </c>
      <c r="G13" s="32"/>
      <c r="H13" s="32"/>
      <c r="I13" s="32"/>
      <c r="J13" s="32"/>
      <c r="K13" s="32">
        <f>K15+K29+K87+K94+K106+K120+K131+K135+K143+K153+K179+K190+K193+K207+K220+K251+K261</f>
        <v>1729764.4000032998</v>
      </c>
      <c r="L13" s="32"/>
      <c r="M13" s="46"/>
      <c r="N13" s="46"/>
      <c r="O13" s="32"/>
      <c r="P13" s="32">
        <f>P15+P29+P87+P94+P106+P120+P131+P135+P143+P153+P179+P190+P193+P207+P220+P228+P249+P251+P261</f>
        <v>2260580.8994999994</v>
      </c>
      <c r="Q13" s="33"/>
      <c r="R13" s="47"/>
      <c r="S13" s="47"/>
      <c r="T13" s="48"/>
      <c r="U13" s="49"/>
      <c r="V13" s="50"/>
      <c r="W13" s="11"/>
      <c r="X13" s="11"/>
      <c r="Y13" s="11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44" s="13" customFormat="1" ht="42.75" customHeight="1">
      <c r="A14" s="44"/>
      <c r="B14" s="45" t="s">
        <v>20</v>
      </c>
      <c r="C14" s="51"/>
      <c r="D14" s="51"/>
      <c r="E14" s="51"/>
      <c r="F14" s="51"/>
      <c r="G14" s="32">
        <f>G15+G29+G87+G94+G106+G120+G131+G135+G143+G153+G179+G190+G193+G207+G220+G228+G251+G261</f>
        <v>123393.83903000002</v>
      </c>
      <c r="H14" s="52"/>
      <c r="I14" s="52"/>
      <c r="J14" s="52"/>
      <c r="K14" s="52"/>
      <c r="L14" s="32">
        <f>L15+L29+L87+L94+L106+L120+L131+L135+L143+L153+L179+L190+L193+L207+L220+L251+L261+0.05</f>
        <v>112826.78419170003</v>
      </c>
      <c r="M14" s="51"/>
      <c r="N14" s="51"/>
      <c r="O14" s="51"/>
      <c r="P14" s="51"/>
      <c r="Q14" s="33">
        <f>Q15+Q29+Q87+Q94+Q106+Q120+Q131+Q135+Q143+Q153+Q179+Q190+Q193+Q207+Q220+Q228+Q249+Q251+Q261</f>
        <v>140806.70032</v>
      </c>
      <c r="R14" s="53"/>
      <c r="S14" s="53"/>
      <c r="T14" s="54"/>
      <c r="U14" s="55"/>
      <c r="V14" s="50"/>
      <c r="W14" s="11"/>
      <c r="X14" s="11"/>
      <c r="Y14" s="11"/>
      <c r="Z14" s="4"/>
      <c r="AA14" s="4" t="s">
        <v>6</v>
      </c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1:44" s="13" customFormat="1" ht="27" customHeight="1">
      <c r="A15" s="44"/>
      <c r="B15" s="56" t="s">
        <v>21</v>
      </c>
      <c r="C15" s="57">
        <f>C16</f>
        <v>10.3</v>
      </c>
      <c r="D15" s="54"/>
      <c r="E15" s="57">
        <f>E16</f>
        <v>237999.99999999997</v>
      </c>
      <c r="F15" s="57">
        <f>F16</f>
        <v>223719.99999999997</v>
      </c>
      <c r="G15" s="58">
        <f>G16</f>
        <v>14280.000000000007</v>
      </c>
      <c r="H15" s="57">
        <f>H16</f>
        <v>2.7</v>
      </c>
      <c r="I15" s="57"/>
      <c r="J15" s="57">
        <f>J16</f>
        <v>20930.599999999999</v>
      </c>
      <c r="K15" s="57">
        <f>K16</f>
        <v>19674.8</v>
      </c>
      <c r="L15" s="57">
        <f>L16</f>
        <v>1255.7999999999993</v>
      </c>
      <c r="M15" s="57">
        <f>M16</f>
        <v>8.43</v>
      </c>
      <c r="N15" s="57"/>
      <c r="O15" s="57">
        <f>O16</f>
        <v>554519.80000000005</v>
      </c>
      <c r="P15" s="57">
        <f>P16</f>
        <v>521248.60000000003</v>
      </c>
      <c r="Q15" s="59">
        <f>Q16</f>
        <v>33271.200000000012</v>
      </c>
      <c r="R15" s="60">
        <v>10.3</v>
      </c>
      <c r="S15" s="57"/>
      <c r="T15" s="57">
        <v>238000</v>
      </c>
      <c r="U15" s="57">
        <v>223720</v>
      </c>
      <c r="V15" s="59">
        <f>T15-U15</f>
        <v>14280</v>
      </c>
      <c r="W15" s="61"/>
      <c r="X15" s="62"/>
      <c r="Y15" s="11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s="13" customFormat="1" ht="40.5" customHeight="1">
      <c r="A16" s="63"/>
      <c r="B16" s="64" t="s">
        <v>259</v>
      </c>
      <c r="C16" s="65">
        <f>SUM(C17:C27)</f>
        <v>10.3</v>
      </c>
      <c r="D16" s="66"/>
      <c r="E16" s="67">
        <f>SUM(E17:E27)</f>
        <v>237999.99999999997</v>
      </c>
      <c r="F16" s="67">
        <f>SUM(F17:F27)</f>
        <v>223719.99999999997</v>
      </c>
      <c r="G16" s="68">
        <f>SUM(G17:G27)</f>
        <v>14280.000000000007</v>
      </c>
      <c r="H16" s="65">
        <f>H28</f>
        <v>2.7</v>
      </c>
      <c r="I16" s="69"/>
      <c r="J16" s="70">
        <f>J28</f>
        <v>20930.599999999999</v>
      </c>
      <c r="K16" s="70">
        <f>K28</f>
        <v>19674.8</v>
      </c>
      <c r="L16" s="70">
        <f>L28</f>
        <v>1255.7999999999993</v>
      </c>
      <c r="M16" s="112">
        <v>8.43</v>
      </c>
      <c r="N16" s="69"/>
      <c r="O16" s="67">
        <v>554519.80000000005</v>
      </c>
      <c r="P16" s="67">
        <f>O16*0.94-0.012</f>
        <v>521248.60000000003</v>
      </c>
      <c r="Q16" s="71">
        <f>O16-P16</f>
        <v>33271.200000000012</v>
      </c>
      <c r="R16" s="72">
        <v>10.3</v>
      </c>
      <c r="S16" s="67"/>
      <c r="T16" s="67">
        <v>238000</v>
      </c>
      <c r="U16" s="67">
        <v>223720</v>
      </c>
      <c r="V16" s="71">
        <f>T16-U16</f>
        <v>14280</v>
      </c>
      <c r="W16" s="11"/>
      <c r="X16" s="11"/>
      <c r="Y16" s="11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s="13" customFormat="1" ht="27" customHeight="1">
      <c r="A17" s="63">
        <v>1</v>
      </c>
      <c r="B17" s="64" t="s">
        <v>22</v>
      </c>
      <c r="C17" s="65">
        <v>2.0990000000000002</v>
      </c>
      <c r="D17" s="66"/>
      <c r="E17" s="67">
        <v>29502.191490000001</v>
      </c>
      <c r="F17" s="67">
        <f t="shared" ref="F17:F27" si="0">E17*0.94</f>
        <v>27732.060000599999</v>
      </c>
      <c r="G17" s="68">
        <f t="shared" ref="G17:G27" si="1">E17-F17</f>
        <v>1770.1314894000025</v>
      </c>
      <c r="H17" s="67"/>
      <c r="I17" s="69"/>
      <c r="J17" s="69"/>
      <c r="K17" s="69"/>
      <c r="L17" s="69"/>
      <c r="M17" s="69"/>
      <c r="N17" s="69"/>
      <c r="O17" s="69"/>
      <c r="P17" s="69"/>
      <c r="Q17" s="73"/>
      <c r="R17" s="72"/>
      <c r="S17" s="74"/>
      <c r="T17" s="67"/>
      <c r="U17" s="68"/>
      <c r="V17" s="71"/>
      <c r="W17" s="11"/>
      <c r="X17" s="11"/>
      <c r="Y17" s="11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1:44" s="13" customFormat="1" ht="27" customHeight="1">
      <c r="A18" s="63">
        <v>2</v>
      </c>
      <c r="B18" s="64" t="s">
        <v>23</v>
      </c>
      <c r="C18" s="65">
        <v>1.54</v>
      </c>
      <c r="D18" s="66"/>
      <c r="E18" s="67">
        <v>59025.596689999998</v>
      </c>
      <c r="F18" s="67">
        <f t="shared" si="0"/>
        <v>55484.060888599997</v>
      </c>
      <c r="G18" s="68">
        <f t="shared" si="1"/>
        <v>3541.5358014000012</v>
      </c>
      <c r="H18" s="67"/>
      <c r="I18" s="69"/>
      <c r="J18" s="69"/>
      <c r="K18" s="69"/>
      <c r="L18" s="69"/>
      <c r="M18" s="69"/>
      <c r="N18" s="69"/>
      <c r="O18" s="69"/>
      <c r="P18" s="69"/>
      <c r="Q18" s="73"/>
      <c r="R18" s="72"/>
      <c r="S18" s="74"/>
      <c r="T18" s="67"/>
      <c r="U18" s="68"/>
      <c r="V18" s="71"/>
      <c r="W18" s="11"/>
      <c r="X18" s="11"/>
      <c r="Y18" s="11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1:44" s="13" customFormat="1" ht="27" customHeight="1">
      <c r="A19" s="63">
        <v>3</v>
      </c>
      <c r="B19" s="64" t="s">
        <v>24</v>
      </c>
      <c r="C19" s="65">
        <v>1.224</v>
      </c>
      <c r="D19" s="66"/>
      <c r="E19" s="67">
        <v>10694.377909999999</v>
      </c>
      <c r="F19" s="67">
        <f t="shared" si="0"/>
        <v>10052.715235399999</v>
      </c>
      <c r="G19" s="68">
        <f t="shared" si="1"/>
        <v>641.66267460000017</v>
      </c>
      <c r="H19" s="67"/>
      <c r="I19" s="69"/>
      <c r="J19" s="69"/>
      <c r="K19" s="69"/>
      <c r="L19" s="69"/>
      <c r="M19" s="69"/>
      <c r="N19" s="69"/>
      <c r="O19" s="69"/>
      <c r="P19" s="69"/>
      <c r="Q19" s="73"/>
      <c r="R19" s="72"/>
      <c r="S19" s="74"/>
      <c r="T19" s="67"/>
      <c r="U19" s="68"/>
      <c r="V19" s="71"/>
      <c r="W19" s="11"/>
      <c r="X19" s="11"/>
      <c r="Y19" s="11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1:44" s="13" customFormat="1" ht="27" customHeight="1">
      <c r="A20" s="63">
        <v>4</v>
      </c>
      <c r="B20" s="64" t="s">
        <v>25</v>
      </c>
      <c r="C20" s="65">
        <v>0.77700000000000002</v>
      </c>
      <c r="D20" s="66"/>
      <c r="E20" s="67">
        <v>6356.2148500000003</v>
      </c>
      <c r="F20" s="67">
        <f t="shared" si="0"/>
        <v>5974.8419590000003</v>
      </c>
      <c r="G20" s="68">
        <f t="shared" si="1"/>
        <v>381.37289099999998</v>
      </c>
      <c r="H20" s="67"/>
      <c r="I20" s="69"/>
      <c r="J20" s="69"/>
      <c r="K20" s="69"/>
      <c r="L20" s="69"/>
      <c r="M20" s="69"/>
      <c r="N20" s="69"/>
      <c r="O20" s="69"/>
      <c r="P20" s="69"/>
      <c r="Q20" s="73"/>
      <c r="R20" s="72"/>
      <c r="S20" s="74"/>
      <c r="T20" s="67"/>
      <c r="U20" s="68"/>
      <c r="V20" s="71"/>
      <c r="W20" s="11"/>
      <c r="X20" s="11"/>
      <c r="Y20" s="11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1:44" s="13" customFormat="1" ht="27" customHeight="1">
      <c r="A21" s="63">
        <v>5</v>
      </c>
      <c r="B21" s="64" t="s">
        <v>26</v>
      </c>
      <c r="C21" s="65">
        <v>0.62</v>
      </c>
      <c r="D21" s="66"/>
      <c r="E21" s="67">
        <v>9289.8690000000006</v>
      </c>
      <c r="F21" s="67">
        <f t="shared" si="0"/>
        <v>8732.4768600000007</v>
      </c>
      <c r="G21" s="68">
        <f t="shared" si="1"/>
        <v>557.39213999999993</v>
      </c>
      <c r="H21" s="67"/>
      <c r="I21" s="69"/>
      <c r="J21" s="69"/>
      <c r="K21" s="69"/>
      <c r="L21" s="69"/>
      <c r="M21" s="69"/>
      <c r="N21" s="69"/>
      <c r="O21" s="69"/>
      <c r="P21" s="69"/>
      <c r="Q21" s="73"/>
      <c r="R21" s="72"/>
      <c r="S21" s="74"/>
      <c r="T21" s="67"/>
      <c r="U21" s="68"/>
      <c r="V21" s="71"/>
      <c r="W21" s="11"/>
      <c r="X21" s="11"/>
      <c r="Y21" s="11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1:44" s="13" customFormat="1" ht="27" customHeight="1">
      <c r="A22" s="63">
        <v>6</v>
      </c>
      <c r="B22" s="64" t="s">
        <v>27</v>
      </c>
      <c r="C22" s="65">
        <v>0.86699999999999999</v>
      </c>
      <c r="D22" s="66"/>
      <c r="E22" s="67">
        <v>9339.10707</v>
      </c>
      <c r="F22" s="67">
        <f t="shared" si="0"/>
        <v>8778.7606457999991</v>
      </c>
      <c r="G22" s="68">
        <f t="shared" si="1"/>
        <v>560.34642420000091</v>
      </c>
      <c r="H22" s="67"/>
      <c r="I22" s="69"/>
      <c r="J22" s="69"/>
      <c r="K22" s="69"/>
      <c r="L22" s="69"/>
      <c r="M22" s="69"/>
      <c r="N22" s="69"/>
      <c r="O22" s="69"/>
      <c r="P22" s="69"/>
      <c r="Q22" s="73"/>
      <c r="R22" s="72"/>
      <c r="S22" s="74"/>
      <c r="T22" s="67"/>
      <c r="U22" s="68"/>
      <c r="V22" s="71"/>
      <c r="W22" s="11"/>
      <c r="X22" s="11"/>
      <c r="Y22" s="11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44" s="13" customFormat="1" ht="27" customHeight="1">
      <c r="A23" s="63">
        <v>7</v>
      </c>
      <c r="B23" s="64" t="s">
        <v>28</v>
      </c>
      <c r="C23" s="65">
        <v>0.68100000000000005</v>
      </c>
      <c r="D23" s="66"/>
      <c r="E23" s="67">
        <v>10725.01888</v>
      </c>
      <c r="F23" s="67">
        <f t="shared" si="0"/>
        <v>10081.5177472</v>
      </c>
      <c r="G23" s="68">
        <f t="shared" si="1"/>
        <v>643.50113280000005</v>
      </c>
      <c r="H23" s="67"/>
      <c r="I23" s="69"/>
      <c r="J23" s="69"/>
      <c r="K23" s="69"/>
      <c r="L23" s="69"/>
      <c r="M23" s="69"/>
      <c r="N23" s="69"/>
      <c r="O23" s="69"/>
      <c r="P23" s="69"/>
      <c r="Q23" s="73"/>
      <c r="R23" s="72"/>
      <c r="S23" s="74"/>
      <c r="T23" s="67"/>
      <c r="U23" s="68"/>
      <c r="V23" s="71"/>
      <c r="W23" s="11"/>
      <c r="X23" s="11"/>
      <c r="Y23" s="11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 s="13" customFormat="1" ht="27" customHeight="1">
      <c r="A24" s="63">
        <v>8</v>
      </c>
      <c r="B24" s="64" t="s">
        <v>29</v>
      </c>
      <c r="C24" s="65">
        <v>0.57999999999999996</v>
      </c>
      <c r="D24" s="66"/>
      <c r="E24" s="67">
        <v>30012.859909999999</v>
      </c>
      <c r="F24" s="67">
        <f t="shared" si="0"/>
        <v>28212.088315399997</v>
      </c>
      <c r="G24" s="68">
        <f t="shared" si="1"/>
        <v>1800.7715946000026</v>
      </c>
      <c r="H24" s="67"/>
      <c r="I24" s="69"/>
      <c r="J24" s="69"/>
      <c r="K24" s="69"/>
      <c r="L24" s="69"/>
      <c r="M24" s="69"/>
      <c r="N24" s="69"/>
      <c r="O24" s="69"/>
      <c r="P24" s="69"/>
      <c r="Q24" s="73"/>
      <c r="R24" s="72"/>
      <c r="S24" s="74"/>
      <c r="T24" s="67"/>
      <c r="U24" s="68"/>
      <c r="V24" s="71"/>
      <c r="W24" s="11"/>
      <c r="X24" s="11"/>
      <c r="Y24" s="11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 s="13" customFormat="1" ht="27" customHeight="1">
      <c r="A25" s="63">
        <v>9</v>
      </c>
      <c r="B25" s="64" t="s">
        <v>30</v>
      </c>
      <c r="C25" s="65">
        <v>0.63700000000000001</v>
      </c>
      <c r="D25" s="66"/>
      <c r="E25" s="67">
        <v>41026.149799999999</v>
      </c>
      <c r="F25" s="67">
        <f t="shared" si="0"/>
        <v>38564.580812</v>
      </c>
      <c r="G25" s="68">
        <f t="shared" si="1"/>
        <v>2461.5689879999991</v>
      </c>
      <c r="H25" s="67"/>
      <c r="I25" s="69"/>
      <c r="J25" s="69"/>
      <c r="K25" s="69"/>
      <c r="L25" s="69"/>
      <c r="M25" s="69"/>
      <c r="N25" s="69"/>
      <c r="O25" s="69"/>
      <c r="P25" s="69"/>
      <c r="Q25" s="73"/>
      <c r="R25" s="72"/>
      <c r="S25" s="74"/>
      <c r="T25" s="67"/>
      <c r="U25" s="68"/>
      <c r="V25" s="71"/>
      <c r="W25" s="11"/>
      <c r="X25" s="11"/>
      <c r="Y25" s="11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4" s="13" customFormat="1" ht="27" customHeight="1">
      <c r="A26" s="63">
        <v>10</v>
      </c>
      <c r="B26" s="64" t="s">
        <v>31</v>
      </c>
      <c r="C26" s="65">
        <v>0.77500000000000002</v>
      </c>
      <c r="D26" s="66"/>
      <c r="E26" s="67">
        <v>24048.283049999998</v>
      </c>
      <c r="F26" s="67">
        <f t="shared" si="0"/>
        <v>22605.386066999996</v>
      </c>
      <c r="G26" s="68">
        <f t="shared" si="1"/>
        <v>1442.8969830000024</v>
      </c>
      <c r="H26" s="67"/>
      <c r="I26" s="69"/>
      <c r="J26" s="69"/>
      <c r="K26" s="69"/>
      <c r="L26" s="69"/>
      <c r="M26" s="69"/>
      <c r="N26" s="69"/>
      <c r="O26" s="69"/>
      <c r="P26" s="69"/>
      <c r="Q26" s="73"/>
      <c r="R26" s="72"/>
      <c r="S26" s="74"/>
      <c r="T26" s="67"/>
      <c r="U26" s="68"/>
      <c r="V26" s="71"/>
      <c r="W26" s="11"/>
      <c r="X26" s="11"/>
      <c r="Y26" s="11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 s="13" customFormat="1" ht="27" customHeight="1">
      <c r="A27" s="63">
        <v>11</v>
      </c>
      <c r="B27" s="64" t="s">
        <v>32</v>
      </c>
      <c r="C27" s="65">
        <v>0.5</v>
      </c>
      <c r="D27" s="66"/>
      <c r="E27" s="67">
        <v>7980.3313500000004</v>
      </c>
      <c r="F27" s="67">
        <f t="shared" si="0"/>
        <v>7501.511469</v>
      </c>
      <c r="G27" s="68">
        <f t="shared" si="1"/>
        <v>478.81988100000035</v>
      </c>
      <c r="H27" s="67"/>
      <c r="I27" s="69"/>
      <c r="J27" s="69"/>
      <c r="K27" s="69"/>
      <c r="L27" s="69"/>
      <c r="M27" s="69"/>
      <c r="N27" s="69"/>
      <c r="O27" s="69"/>
      <c r="P27" s="69"/>
      <c r="Q27" s="73"/>
      <c r="R27" s="72"/>
      <c r="S27" s="74"/>
      <c r="T27" s="67"/>
      <c r="U27" s="68"/>
      <c r="V27" s="71"/>
      <c r="W27" s="11"/>
      <c r="X27" s="11"/>
      <c r="Y27" s="11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s="13" customFormat="1" ht="27" customHeight="1">
      <c r="A28" s="63">
        <v>12</v>
      </c>
      <c r="B28" s="64" t="s">
        <v>248</v>
      </c>
      <c r="C28" s="65"/>
      <c r="D28" s="66"/>
      <c r="E28" s="67"/>
      <c r="F28" s="67"/>
      <c r="G28" s="68"/>
      <c r="H28" s="65">
        <v>2.7</v>
      </c>
      <c r="I28" s="69"/>
      <c r="J28" s="70">
        <v>20930.599999999999</v>
      </c>
      <c r="K28" s="70">
        <v>19674.8</v>
      </c>
      <c r="L28" s="70">
        <f>J28-K28</f>
        <v>1255.7999999999993</v>
      </c>
      <c r="M28" s="69"/>
      <c r="N28" s="69"/>
      <c r="O28" s="69"/>
      <c r="P28" s="69"/>
      <c r="Q28" s="73"/>
      <c r="R28" s="72"/>
      <c r="S28" s="74"/>
      <c r="T28" s="67"/>
      <c r="U28" s="68"/>
      <c r="V28" s="71"/>
      <c r="W28" s="11"/>
      <c r="X28" s="11"/>
      <c r="Y28" s="11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 s="13" customFormat="1" ht="25.5" customHeight="1">
      <c r="A29" s="63"/>
      <c r="B29" s="56" t="s">
        <v>33</v>
      </c>
      <c r="C29" s="57">
        <f>C30+C65</f>
        <v>17.148</v>
      </c>
      <c r="D29" s="57"/>
      <c r="E29" s="57">
        <f>E30+E65</f>
        <v>197954.8</v>
      </c>
      <c r="F29" s="57">
        <f>F30+F65</f>
        <v>186077.49600000001</v>
      </c>
      <c r="G29" s="57">
        <f>G30+G65</f>
        <v>11877.304000000002</v>
      </c>
      <c r="H29" s="57">
        <f>H30+H65</f>
        <v>42.463000000000008</v>
      </c>
      <c r="I29" s="57"/>
      <c r="J29" s="57">
        <f>J30+J65</f>
        <v>529191.57249500009</v>
      </c>
      <c r="K29" s="57">
        <f>K30+K65</f>
        <v>497440.10000329989</v>
      </c>
      <c r="L29" s="57">
        <f>L30+L65</f>
        <v>31751.472491700035</v>
      </c>
      <c r="M29" s="57">
        <f>M30+M65</f>
        <v>16.855</v>
      </c>
      <c r="N29" s="57"/>
      <c r="O29" s="57">
        <f>O30+O65+0.048</f>
        <v>289447.39981999999</v>
      </c>
      <c r="P29" s="57">
        <f>P30+P65</f>
        <v>272080.49999999994</v>
      </c>
      <c r="Q29" s="59">
        <f>Q30+Q65+0.048</f>
        <v>17366.899819999999</v>
      </c>
      <c r="R29" s="60" t="e">
        <f>#REF!+#REF!</f>
        <v>#REF!</v>
      </c>
      <c r="S29" s="60"/>
      <c r="T29" s="54" t="e">
        <f>#REF!+#REF!</f>
        <v>#REF!</v>
      </c>
      <c r="U29" s="55" t="e">
        <f>#REF!+#REF!</f>
        <v>#REF!</v>
      </c>
      <c r="V29" s="59" t="e">
        <f>#REF!</f>
        <v>#REF!</v>
      </c>
      <c r="W29" s="76">
        <f>K29/J29*100</f>
        <v>94.000004130451231</v>
      </c>
      <c r="X29" s="11"/>
      <c r="Y29" s="11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 s="13" customFormat="1" ht="39.75" customHeight="1">
      <c r="A30" s="202"/>
      <c r="B30" s="203" t="s">
        <v>201</v>
      </c>
      <c r="C30" s="178">
        <f>SUM(C31:C33)</f>
        <v>0.40499999999999997</v>
      </c>
      <c r="D30" s="174"/>
      <c r="E30" s="174">
        <f>SUM(E31:E33)</f>
        <v>23307.97567</v>
      </c>
      <c r="F30" s="174">
        <f>SUM(F31:F33)</f>
        <v>21909.497129800002</v>
      </c>
      <c r="G30" s="174">
        <f>SUM(G31:G33)</f>
        <v>1398.4785402000011</v>
      </c>
      <c r="H30" s="178">
        <f>SUM(H33:H51)</f>
        <v>20.676000000000005</v>
      </c>
      <c r="I30" s="189"/>
      <c r="J30" s="174">
        <f t="shared" ref="J30:L30" si="2">SUM(J33:J51)</f>
        <v>344691.80198000005</v>
      </c>
      <c r="K30" s="174">
        <f t="shared" si="2"/>
        <v>324010.29386119999</v>
      </c>
      <c r="L30" s="174">
        <f t="shared" si="2"/>
        <v>20681.508118800015</v>
      </c>
      <c r="M30" s="174">
        <f>SUM(M51:M64)</f>
        <v>15.688000000000001</v>
      </c>
      <c r="N30" s="189"/>
      <c r="O30" s="174">
        <f>SUM(O51:O64)</f>
        <v>250144.54349999997</v>
      </c>
      <c r="P30" s="67">
        <f>SUM(P51:P64)</f>
        <v>235135.87088999996</v>
      </c>
      <c r="Q30" s="71">
        <f>SUM(Q51:Q64)</f>
        <v>15008.672610000001</v>
      </c>
      <c r="R30" s="60"/>
      <c r="S30" s="60"/>
      <c r="T30" s="54"/>
      <c r="U30" s="55"/>
      <c r="V30" s="59"/>
      <c r="W30" s="76">
        <f>K30/J30*100</f>
        <v>93.999999999999986</v>
      </c>
      <c r="X30" s="11"/>
      <c r="Y30" s="11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s="13" customFormat="1" ht="27" customHeight="1">
      <c r="A31" s="202">
        <v>13</v>
      </c>
      <c r="B31" s="193" t="s">
        <v>34</v>
      </c>
      <c r="C31" s="178">
        <v>0.28999999999999998</v>
      </c>
      <c r="D31" s="189"/>
      <c r="E31" s="174">
        <v>3492.8072000000002</v>
      </c>
      <c r="F31" s="174">
        <f>E31*0.94</f>
        <v>3283.2387680000002</v>
      </c>
      <c r="G31" s="191">
        <f>E31-F31</f>
        <v>209.56843200000003</v>
      </c>
      <c r="H31" s="189"/>
      <c r="I31" s="189"/>
      <c r="J31" s="189"/>
      <c r="K31" s="189"/>
      <c r="L31" s="189"/>
      <c r="M31" s="189"/>
      <c r="N31" s="189"/>
      <c r="O31" s="189"/>
      <c r="P31" s="57"/>
      <c r="Q31" s="59"/>
      <c r="R31" s="60"/>
      <c r="S31" s="60"/>
      <c r="T31" s="54"/>
      <c r="U31" s="55"/>
      <c r="V31" s="59"/>
      <c r="W31" s="61"/>
      <c r="X31" s="11"/>
      <c r="Y31" s="11"/>
      <c r="Z31" s="4"/>
      <c r="AA31" s="4" t="s">
        <v>35</v>
      </c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 s="13" customFormat="1" ht="42" customHeight="1">
      <c r="A32" s="202">
        <v>14</v>
      </c>
      <c r="B32" s="193" t="s">
        <v>202</v>
      </c>
      <c r="C32" s="178">
        <v>0.115</v>
      </c>
      <c r="D32" s="190"/>
      <c r="E32" s="174">
        <v>2417.9584</v>
      </c>
      <c r="F32" s="174">
        <f>E32*0.94</f>
        <v>2272.8808959999997</v>
      </c>
      <c r="G32" s="191">
        <f>E32-F32</f>
        <v>145.07750400000032</v>
      </c>
      <c r="H32" s="189"/>
      <c r="I32" s="189"/>
      <c r="J32" s="189"/>
      <c r="K32" s="189"/>
      <c r="L32" s="189"/>
      <c r="M32" s="189"/>
      <c r="N32" s="189"/>
      <c r="O32" s="189"/>
      <c r="P32" s="57"/>
      <c r="Q32" s="59"/>
      <c r="R32" s="60"/>
      <c r="S32" s="60"/>
      <c r="T32" s="54"/>
      <c r="U32" s="55"/>
      <c r="V32" s="59"/>
      <c r="W32" s="61"/>
      <c r="X32" s="11"/>
      <c r="Y32" s="11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44" s="13" customFormat="1" ht="27" customHeight="1">
      <c r="A33" s="202">
        <v>15</v>
      </c>
      <c r="B33" s="193" t="s">
        <v>36</v>
      </c>
      <c r="C33" s="178"/>
      <c r="D33" s="190"/>
      <c r="E33" s="174">
        <v>17397.210070000001</v>
      </c>
      <c r="F33" s="174">
        <f>E33*0.94</f>
        <v>16353.3774658</v>
      </c>
      <c r="G33" s="191">
        <f>E33-F33</f>
        <v>1043.8326042000008</v>
      </c>
      <c r="H33" s="178">
        <v>1.655</v>
      </c>
      <c r="I33" s="189"/>
      <c r="J33" s="174">
        <v>9574.5759400000006</v>
      </c>
      <c r="K33" s="174">
        <f t="shared" ref="K33:K38" si="3">J33*0.94</f>
        <v>9000.1013836000002</v>
      </c>
      <c r="L33" s="174">
        <f t="shared" ref="L33:L39" si="4">J33-K33</f>
        <v>574.47455640000044</v>
      </c>
      <c r="M33" s="189"/>
      <c r="N33" s="189"/>
      <c r="O33" s="189"/>
      <c r="P33" s="57"/>
      <c r="Q33" s="59"/>
      <c r="R33" s="60"/>
      <c r="S33" s="60"/>
      <c r="T33" s="54"/>
      <c r="U33" s="55"/>
      <c r="V33" s="59"/>
      <c r="W33" s="61"/>
      <c r="X33" s="11"/>
      <c r="Y33" s="11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s="13" customFormat="1" ht="27" customHeight="1">
      <c r="A34" s="202">
        <v>16</v>
      </c>
      <c r="B34" s="193" t="s">
        <v>37</v>
      </c>
      <c r="C34" s="178"/>
      <c r="D34" s="190"/>
      <c r="E34" s="174"/>
      <c r="F34" s="174"/>
      <c r="G34" s="191"/>
      <c r="H34" s="178">
        <v>4.2460000000000004</v>
      </c>
      <c r="I34" s="189"/>
      <c r="J34" s="174">
        <v>66892.320000000007</v>
      </c>
      <c r="K34" s="174">
        <f t="shared" si="3"/>
        <v>62878.7808</v>
      </c>
      <c r="L34" s="174">
        <f t="shared" si="4"/>
        <v>4013.5392000000065</v>
      </c>
      <c r="M34" s="189"/>
      <c r="N34" s="189"/>
      <c r="O34" s="189"/>
      <c r="P34" s="57"/>
      <c r="Q34" s="59"/>
      <c r="R34" s="60"/>
      <c r="S34" s="60"/>
      <c r="T34" s="54"/>
      <c r="U34" s="55"/>
      <c r="V34" s="59"/>
      <c r="W34" s="61">
        <f>J34/H34</f>
        <v>15754.19689119171</v>
      </c>
      <c r="X34" s="11"/>
      <c r="Y34" s="11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s="13" customFormat="1" ht="27" customHeight="1">
      <c r="A35" s="202">
        <v>17</v>
      </c>
      <c r="B35" s="193" t="s">
        <v>38</v>
      </c>
      <c r="C35" s="178"/>
      <c r="D35" s="190"/>
      <c r="E35" s="174"/>
      <c r="F35" s="174"/>
      <c r="G35" s="191"/>
      <c r="H35" s="178">
        <v>2.9929999999999999</v>
      </c>
      <c r="I35" s="189"/>
      <c r="J35" s="174">
        <v>21251.69</v>
      </c>
      <c r="K35" s="174">
        <f t="shared" si="3"/>
        <v>19976.588599999999</v>
      </c>
      <c r="L35" s="174">
        <f t="shared" si="4"/>
        <v>1275.1013999999996</v>
      </c>
      <c r="M35" s="189"/>
      <c r="N35" s="189"/>
      <c r="O35" s="189"/>
      <c r="P35" s="57"/>
      <c r="Q35" s="59"/>
      <c r="R35" s="60"/>
      <c r="S35" s="60"/>
      <c r="T35" s="54"/>
      <c r="U35" s="55"/>
      <c r="V35" s="59"/>
      <c r="W35" s="61">
        <f t="shared" ref="W35:W50" si="5">J35/H35</f>
        <v>7100.4644169729363</v>
      </c>
      <c r="X35" s="11"/>
      <c r="Y35" s="11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s="13" customFormat="1" ht="27" customHeight="1">
      <c r="A36" s="202">
        <v>18</v>
      </c>
      <c r="B36" s="193" t="s">
        <v>39</v>
      </c>
      <c r="C36" s="178"/>
      <c r="D36" s="190"/>
      <c r="E36" s="174"/>
      <c r="F36" s="174"/>
      <c r="G36" s="191"/>
      <c r="H36" s="178">
        <v>1.3169999999999999</v>
      </c>
      <c r="I36" s="189"/>
      <c r="J36" s="174">
        <v>11819.596869999999</v>
      </c>
      <c r="K36" s="174">
        <f t="shared" si="3"/>
        <v>11110.421057799998</v>
      </c>
      <c r="L36" s="174">
        <f t="shared" si="4"/>
        <v>709.17581220000102</v>
      </c>
      <c r="M36" s="189"/>
      <c r="N36" s="189"/>
      <c r="O36" s="189"/>
      <c r="P36" s="57"/>
      <c r="Q36" s="59"/>
      <c r="R36" s="60"/>
      <c r="S36" s="60"/>
      <c r="T36" s="54"/>
      <c r="U36" s="55"/>
      <c r="V36" s="59"/>
      <c r="W36" s="61">
        <f t="shared" si="5"/>
        <v>8974.6369552012147</v>
      </c>
      <c r="X36" s="11"/>
      <c r="Y36" s="11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s="13" customFormat="1" ht="27" customHeight="1">
      <c r="A37" s="202">
        <v>19</v>
      </c>
      <c r="B37" s="193" t="s">
        <v>40</v>
      </c>
      <c r="C37" s="178"/>
      <c r="D37" s="190"/>
      <c r="E37" s="174"/>
      <c r="F37" s="174"/>
      <c r="G37" s="191"/>
      <c r="H37" s="178">
        <v>1.06</v>
      </c>
      <c r="I37" s="189"/>
      <c r="J37" s="174">
        <v>22860.11</v>
      </c>
      <c r="K37" s="174">
        <f>J37*0.94</f>
        <v>21488.503399999998</v>
      </c>
      <c r="L37" s="174">
        <f t="shared" si="4"/>
        <v>1371.6066000000028</v>
      </c>
      <c r="M37" s="189"/>
      <c r="N37" s="189"/>
      <c r="O37" s="189"/>
      <c r="P37" s="57"/>
      <c r="Q37" s="59"/>
      <c r="R37" s="60"/>
      <c r="S37" s="60"/>
      <c r="T37" s="54"/>
      <c r="U37" s="55"/>
      <c r="V37" s="59"/>
      <c r="W37" s="61">
        <f t="shared" si="5"/>
        <v>21566.141509433961</v>
      </c>
      <c r="X37" s="11"/>
      <c r="Y37" s="11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s="13" customFormat="1" ht="27" customHeight="1">
      <c r="A38" s="202">
        <v>20</v>
      </c>
      <c r="B38" s="193" t="s">
        <v>41</v>
      </c>
      <c r="C38" s="178"/>
      <c r="D38" s="190"/>
      <c r="E38" s="174"/>
      <c r="F38" s="174"/>
      <c r="G38" s="191"/>
      <c r="H38" s="178">
        <v>0.82899999999999996</v>
      </c>
      <c r="I38" s="189"/>
      <c r="J38" s="174">
        <v>18359.7</v>
      </c>
      <c r="K38" s="174">
        <f t="shared" si="3"/>
        <v>17258.117999999999</v>
      </c>
      <c r="L38" s="174">
        <f t="shared" si="4"/>
        <v>1101.5820000000022</v>
      </c>
      <c r="M38" s="189"/>
      <c r="N38" s="189"/>
      <c r="O38" s="189"/>
      <c r="P38" s="57"/>
      <c r="Q38" s="59"/>
      <c r="R38" s="60"/>
      <c r="S38" s="60"/>
      <c r="T38" s="54"/>
      <c r="U38" s="55"/>
      <c r="V38" s="59"/>
      <c r="W38" s="61">
        <f t="shared" si="5"/>
        <v>22146.80337756333</v>
      </c>
      <c r="X38" s="11" t="s">
        <v>35</v>
      </c>
      <c r="Y38" s="11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s="13" customFormat="1" ht="27" customHeight="1">
      <c r="A39" s="202">
        <v>21</v>
      </c>
      <c r="B39" s="193" t="s">
        <v>42</v>
      </c>
      <c r="C39" s="178"/>
      <c r="D39" s="190"/>
      <c r="E39" s="174"/>
      <c r="F39" s="174"/>
      <c r="G39" s="191"/>
      <c r="H39" s="178">
        <v>4.0069999999999997</v>
      </c>
      <c r="I39" s="189"/>
      <c r="J39" s="174">
        <v>96084.344100000002</v>
      </c>
      <c r="K39" s="174">
        <f>J39*0.94</f>
        <v>90319.283454000004</v>
      </c>
      <c r="L39" s="174">
        <f t="shared" si="4"/>
        <v>5765.0606459999981</v>
      </c>
      <c r="M39" s="189"/>
      <c r="N39" s="189"/>
      <c r="O39" s="189"/>
      <c r="P39" s="57"/>
      <c r="Q39" s="59"/>
      <c r="R39" s="60"/>
      <c r="S39" s="60"/>
      <c r="T39" s="54"/>
      <c r="U39" s="55"/>
      <c r="V39" s="59"/>
      <c r="W39" s="61">
        <f t="shared" si="5"/>
        <v>23979.122560519096</v>
      </c>
      <c r="X39" s="11"/>
      <c r="Y39" s="11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s="13" customFormat="1" ht="26.25" customHeight="1">
      <c r="A40" s="202">
        <v>22</v>
      </c>
      <c r="B40" s="193" t="s">
        <v>218</v>
      </c>
      <c r="C40" s="178"/>
      <c r="D40" s="190"/>
      <c r="E40" s="174"/>
      <c r="F40" s="174"/>
      <c r="G40" s="191"/>
      <c r="H40" s="204">
        <v>0.67200000000000004</v>
      </c>
      <c r="I40" s="205"/>
      <c r="J40" s="174">
        <v>16162.56</v>
      </c>
      <c r="K40" s="174">
        <f t="shared" ref="K40:K51" si="6">J40*0.94</f>
        <v>15192.806399999999</v>
      </c>
      <c r="L40" s="174">
        <f t="shared" ref="L40:L43" si="7">J40-K40</f>
        <v>969.75360000000001</v>
      </c>
      <c r="M40" s="189"/>
      <c r="N40" s="189"/>
      <c r="O40" s="189"/>
      <c r="P40" s="189"/>
      <c r="Q40" s="59"/>
      <c r="R40" s="60"/>
      <c r="S40" s="60"/>
      <c r="T40" s="54"/>
      <c r="U40" s="55"/>
      <c r="V40" s="59"/>
      <c r="W40" s="61">
        <f t="shared" si="5"/>
        <v>24051.428571428569</v>
      </c>
      <c r="X40" s="11"/>
      <c r="Y40" s="11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s="13" customFormat="1" ht="27" customHeight="1">
      <c r="A41" s="202">
        <v>23</v>
      </c>
      <c r="B41" s="193" t="s">
        <v>219</v>
      </c>
      <c r="C41" s="178"/>
      <c r="D41" s="190"/>
      <c r="E41" s="174"/>
      <c r="F41" s="174"/>
      <c r="G41" s="191"/>
      <c r="H41" s="206">
        <v>0.12</v>
      </c>
      <c r="I41" s="205"/>
      <c r="J41" s="174">
        <v>2525.38</v>
      </c>
      <c r="K41" s="174">
        <f t="shared" si="6"/>
        <v>2373.8571999999999</v>
      </c>
      <c r="L41" s="174">
        <f t="shared" si="7"/>
        <v>151.52280000000019</v>
      </c>
      <c r="M41" s="189"/>
      <c r="N41" s="189"/>
      <c r="O41" s="189"/>
      <c r="P41" s="189"/>
      <c r="Q41" s="59"/>
      <c r="R41" s="60"/>
      <c r="S41" s="60"/>
      <c r="T41" s="54"/>
      <c r="U41" s="55"/>
      <c r="V41" s="59"/>
      <c r="W41" s="61">
        <f t="shared" si="5"/>
        <v>21044.833333333336</v>
      </c>
      <c r="X41" s="11"/>
      <c r="Y41" s="11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s="13" customFormat="1" ht="27" customHeight="1">
      <c r="A42" s="202">
        <v>24</v>
      </c>
      <c r="B42" s="193" t="s">
        <v>220</v>
      </c>
      <c r="C42" s="178"/>
      <c r="D42" s="190"/>
      <c r="E42" s="174"/>
      <c r="F42" s="174"/>
      <c r="G42" s="191"/>
      <c r="H42" s="204">
        <v>0.32</v>
      </c>
      <c r="I42" s="205"/>
      <c r="J42" s="174">
        <v>5735.98</v>
      </c>
      <c r="K42" s="174">
        <f t="shared" si="6"/>
        <v>5391.8211999999994</v>
      </c>
      <c r="L42" s="174">
        <f t="shared" si="7"/>
        <v>344.15880000000016</v>
      </c>
      <c r="M42" s="189"/>
      <c r="N42" s="189"/>
      <c r="O42" s="189"/>
      <c r="P42" s="189"/>
      <c r="Q42" s="59"/>
      <c r="R42" s="60"/>
      <c r="S42" s="60"/>
      <c r="T42" s="54"/>
      <c r="U42" s="55"/>
      <c r="V42" s="59"/>
      <c r="W42" s="61">
        <f t="shared" si="5"/>
        <v>17924.9375</v>
      </c>
      <c r="X42" s="11"/>
      <c r="Y42" s="11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s="13" customFormat="1" ht="63" customHeight="1">
      <c r="A43" s="202">
        <v>25</v>
      </c>
      <c r="B43" s="193" t="s">
        <v>265</v>
      </c>
      <c r="C43" s="178"/>
      <c r="D43" s="190"/>
      <c r="E43" s="174"/>
      <c r="F43" s="174"/>
      <c r="G43" s="191"/>
      <c r="H43" s="204">
        <f>0.05+0.142+0.111+0.045+0.162</f>
        <v>0.51</v>
      </c>
      <c r="I43" s="205"/>
      <c r="J43" s="174">
        <v>10650.33</v>
      </c>
      <c r="K43" s="174">
        <f t="shared" si="6"/>
        <v>10011.3102</v>
      </c>
      <c r="L43" s="174">
        <f t="shared" si="7"/>
        <v>639.01980000000003</v>
      </c>
      <c r="M43" s="189"/>
      <c r="N43" s="189"/>
      <c r="O43" s="189"/>
      <c r="P43" s="189"/>
      <c r="Q43" s="59"/>
      <c r="R43" s="60"/>
      <c r="S43" s="60"/>
      <c r="T43" s="54"/>
      <c r="U43" s="55"/>
      <c r="V43" s="59"/>
      <c r="W43" s="61">
        <f t="shared" si="5"/>
        <v>20883</v>
      </c>
      <c r="X43" s="11"/>
      <c r="Y43" s="11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s="13" customFormat="1" ht="27" customHeight="1">
      <c r="A44" s="202">
        <v>26</v>
      </c>
      <c r="B44" s="193" t="s">
        <v>224</v>
      </c>
      <c r="C44" s="178"/>
      <c r="D44" s="190"/>
      <c r="E44" s="174"/>
      <c r="F44" s="174"/>
      <c r="G44" s="191"/>
      <c r="H44" s="204">
        <v>0.49</v>
      </c>
      <c r="I44" s="205"/>
      <c r="J44" s="174">
        <f>9445.83</f>
        <v>9445.83</v>
      </c>
      <c r="K44" s="174">
        <f t="shared" si="6"/>
        <v>8879.0802000000003</v>
      </c>
      <c r="L44" s="174">
        <f t="shared" ref="L44" si="8">J44-K44</f>
        <v>566.7497999999996</v>
      </c>
      <c r="M44" s="189"/>
      <c r="N44" s="189"/>
      <c r="O44" s="189"/>
      <c r="P44" s="189"/>
      <c r="Q44" s="59"/>
      <c r="R44" s="60"/>
      <c r="S44" s="60"/>
      <c r="T44" s="54"/>
      <c r="U44" s="55"/>
      <c r="V44" s="59"/>
      <c r="W44" s="61">
        <f t="shared" si="5"/>
        <v>19277.204081632652</v>
      </c>
      <c r="X44" s="11"/>
      <c r="Y44" s="11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</row>
    <row r="45" spans="1:44" s="13" customFormat="1" ht="27" customHeight="1">
      <c r="A45" s="202">
        <v>27</v>
      </c>
      <c r="B45" s="193" t="s">
        <v>223</v>
      </c>
      <c r="C45" s="178"/>
      <c r="D45" s="190"/>
      <c r="E45" s="174"/>
      <c r="F45" s="174"/>
      <c r="G45" s="191"/>
      <c r="H45" s="204">
        <v>7.6999999999999999E-2</v>
      </c>
      <c r="I45" s="205"/>
      <c r="J45" s="174">
        <v>1203.77</v>
      </c>
      <c r="K45" s="174">
        <f t="shared" si="6"/>
        <v>1131.5437999999999</v>
      </c>
      <c r="L45" s="174">
        <f t="shared" ref="L45" si="9">J45-K45</f>
        <v>72.226200000000063</v>
      </c>
      <c r="M45" s="189"/>
      <c r="N45" s="189"/>
      <c r="O45" s="189"/>
      <c r="P45" s="189"/>
      <c r="Q45" s="59"/>
      <c r="R45" s="60"/>
      <c r="S45" s="60"/>
      <c r="T45" s="54"/>
      <c r="U45" s="55"/>
      <c r="V45" s="59"/>
      <c r="W45" s="61">
        <f t="shared" si="5"/>
        <v>15633.376623376624</v>
      </c>
      <c r="X45" s="11"/>
      <c r="Y45" s="11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s="13" customFormat="1" ht="27" customHeight="1">
      <c r="A46" s="202">
        <v>28</v>
      </c>
      <c r="B46" s="193" t="s">
        <v>225</v>
      </c>
      <c r="C46" s="178"/>
      <c r="D46" s="190"/>
      <c r="E46" s="174"/>
      <c r="F46" s="174"/>
      <c r="G46" s="191"/>
      <c r="H46" s="204">
        <v>0.18</v>
      </c>
      <c r="I46" s="205"/>
      <c r="J46" s="174">
        <v>2460.3000000000002</v>
      </c>
      <c r="K46" s="174">
        <f t="shared" si="6"/>
        <v>2312.6820000000002</v>
      </c>
      <c r="L46" s="174">
        <f t="shared" ref="L46" si="10">J46-K46</f>
        <v>147.61799999999994</v>
      </c>
      <c r="M46" s="189"/>
      <c r="N46" s="189"/>
      <c r="O46" s="189"/>
      <c r="P46" s="189"/>
      <c r="Q46" s="59"/>
      <c r="R46" s="60"/>
      <c r="S46" s="60"/>
      <c r="T46" s="54"/>
      <c r="U46" s="55"/>
      <c r="V46" s="59"/>
      <c r="W46" s="61">
        <f t="shared" si="5"/>
        <v>13668.333333333336</v>
      </c>
      <c r="X46" s="11"/>
      <c r="Y46" s="11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 s="13" customFormat="1" ht="27" customHeight="1">
      <c r="A47" s="202">
        <v>29</v>
      </c>
      <c r="B47" s="193" t="s">
        <v>222</v>
      </c>
      <c r="C47" s="178"/>
      <c r="D47" s="190"/>
      <c r="E47" s="174"/>
      <c r="F47" s="174"/>
      <c r="G47" s="191"/>
      <c r="H47" s="204">
        <v>0.125</v>
      </c>
      <c r="I47" s="205"/>
      <c r="J47" s="174">
        <v>1955.98</v>
      </c>
      <c r="K47" s="174">
        <f t="shared" si="6"/>
        <v>1838.6211999999998</v>
      </c>
      <c r="L47" s="174">
        <f t="shared" ref="L47" si="11">J47-K47</f>
        <v>117.3588000000002</v>
      </c>
      <c r="M47" s="189"/>
      <c r="N47" s="189"/>
      <c r="O47" s="189"/>
      <c r="P47" s="189"/>
      <c r="Q47" s="59"/>
      <c r="R47" s="60"/>
      <c r="S47" s="60"/>
      <c r="T47" s="54"/>
      <c r="U47" s="55"/>
      <c r="V47" s="59"/>
      <c r="W47" s="61">
        <f t="shared" si="5"/>
        <v>15647.84</v>
      </c>
      <c r="X47" s="11"/>
      <c r="Y47" s="11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 s="13" customFormat="1" ht="27" customHeight="1">
      <c r="A48" s="202">
        <v>30</v>
      </c>
      <c r="B48" s="193" t="s">
        <v>221</v>
      </c>
      <c r="C48" s="178"/>
      <c r="D48" s="190"/>
      <c r="E48" s="174"/>
      <c r="F48" s="174"/>
      <c r="G48" s="191"/>
      <c r="H48" s="204">
        <v>0.22500000000000001</v>
      </c>
      <c r="I48" s="205"/>
      <c r="J48" s="174">
        <v>5269.89</v>
      </c>
      <c r="K48" s="174">
        <f t="shared" si="6"/>
        <v>4953.6966000000002</v>
      </c>
      <c r="L48" s="174">
        <f t="shared" ref="L48:L50" si="12">J48-K48</f>
        <v>316.19340000000011</v>
      </c>
      <c r="M48" s="189"/>
      <c r="N48" s="189"/>
      <c r="O48" s="189"/>
      <c r="P48" s="189"/>
      <c r="Q48" s="59"/>
      <c r="R48" s="60"/>
      <c r="S48" s="60"/>
      <c r="T48" s="54"/>
      <c r="U48" s="55"/>
      <c r="V48" s="59"/>
      <c r="W48" s="61">
        <f t="shared" si="5"/>
        <v>23421.733333333334</v>
      </c>
      <c r="X48" s="11"/>
      <c r="Y48" s="11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44" s="13" customFormat="1" ht="27" customHeight="1">
      <c r="A49" s="202">
        <v>31</v>
      </c>
      <c r="B49" s="193" t="s">
        <v>226</v>
      </c>
      <c r="C49" s="178"/>
      <c r="D49" s="190"/>
      <c r="E49" s="174"/>
      <c r="F49" s="174"/>
      <c r="G49" s="191"/>
      <c r="H49" s="204">
        <v>0.25</v>
      </c>
      <c r="I49" s="205"/>
      <c r="J49" s="174">
        <v>5735.69</v>
      </c>
      <c r="K49" s="174">
        <f t="shared" si="6"/>
        <v>5391.5485999999992</v>
      </c>
      <c r="L49" s="174">
        <f t="shared" si="12"/>
        <v>344.14140000000043</v>
      </c>
      <c r="M49" s="189"/>
      <c r="N49" s="189"/>
      <c r="O49" s="189"/>
      <c r="P49" s="189"/>
      <c r="Q49" s="59"/>
      <c r="R49" s="60"/>
      <c r="S49" s="60"/>
      <c r="T49" s="54"/>
      <c r="U49" s="55"/>
      <c r="V49" s="59"/>
      <c r="W49" s="61">
        <f t="shared" si="5"/>
        <v>22942.76</v>
      </c>
      <c r="X49" s="11"/>
      <c r="Y49" s="11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</row>
    <row r="50" spans="1:44" s="13" customFormat="1" ht="45" customHeight="1">
      <c r="A50" s="202">
        <v>32</v>
      </c>
      <c r="B50" s="193" t="s">
        <v>262</v>
      </c>
      <c r="C50" s="178"/>
      <c r="D50" s="190"/>
      <c r="E50" s="174"/>
      <c r="F50" s="174"/>
      <c r="G50" s="191"/>
      <c r="H50" s="204">
        <f>0.777+0.26+0.271+0.292</f>
        <v>1.5999999999999999</v>
      </c>
      <c r="I50" s="205"/>
      <c r="J50" s="174">
        <v>19293.52</v>
      </c>
      <c r="K50" s="174">
        <f t="shared" si="6"/>
        <v>18135.908800000001</v>
      </c>
      <c r="L50" s="174">
        <f t="shared" si="12"/>
        <v>1157.6111999999994</v>
      </c>
      <c r="M50" s="189"/>
      <c r="N50" s="189"/>
      <c r="O50" s="189"/>
      <c r="P50" s="189"/>
      <c r="Q50" s="59"/>
      <c r="R50" s="60"/>
      <c r="S50" s="60"/>
      <c r="T50" s="54"/>
      <c r="U50" s="55"/>
      <c r="V50" s="59"/>
      <c r="W50" s="61">
        <f t="shared" si="5"/>
        <v>12058.45</v>
      </c>
      <c r="X50" s="11"/>
      <c r="Y50" s="11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</row>
    <row r="51" spans="1:44" s="13" customFormat="1" ht="81" customHeight="1">
      <c r="A51" s="207">
        <v>33</v>
      </c>
      <c r="B51" s="208" t="s">
        <v>263</v>
      </c>
      <c r="C51" s="194"/>
      <c r="D51" s="195"/>
      <c r="E51" s="196"/>
      <c r="F51" s="196"/>
      <c r="G51" s="197"/>
      <c r="H51" s="209"/>
      <c r="I51" s="210"/>
      <c r="J51" s="196">
        <v>17410.235069999999</v>
      </c>
      <c r="K51" s="196">
        <f t="shared" si="6"/>
        <v>16365.620965799997</v>
      </c>
      <c r="L51" s="196">
        <f t="shared" ref="L51" si="13">J51-K51</f>
        <v>1044.6141042000017</v>
      </c>
      <c r="M51" s="194">
        <v>2.98</v>
      </c>
      <c r="N51" s="198"/>
      <c r="O51" s="196">
        <v>37904.824930000002</v>
      </c>
      <c r="P51" s="196">
        <v>35630.535430000004</v>
      </c>
      <c r="Q51" s="216">
        <f>O51-P51</f>
        <v>2274.289499999999</v>
      </c>
      <c r="R51" s="60"/>
      <c r="S51" s="60"/>
      <c r="T51" s="54"/>
      <c r="U51" s="55"/>
      <c r="V51" s="59"/>
      <c r="W51" s="61">
        <f>(J51+O51)/M51</f>
        <v>18562.100671140939</v>
      </c>
      <c r="X51" s="11"/>
      <c r="Y51" s="11"/>
      <c r="Z51" s="177" t="s">
        <v>15</v>
      </c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</row>
    <row r="52" spans="1:44" s="13" customFormat="1" ht="60.75" customHeight="1">
      <c r="A52" s="217">
        <v>34</v>
      </c>
      <c r="B52" s="208" t="s">
        <v>264</v>
      </c>
      <c r="C52" s="178"/>
      <c r="D52" s="199"/>
      <c r="E52" s="174"/>
      <c r="F52" s="174"/>
      <c r="G52" s="174"/>
      <c r="H52" s="211"/>
      <c r="I52" s="212"/>
      <c r="J52" s="174"/>
      <c r="K52" s="174"/>
      <c r="L52" s="174"/>
      <c r="M52" s="194">
        <v>0.89500000000000002</v>
      </c>
      <c r="N52" s="189"/>
      <c r="O52" s="174">
        <v>14114.22</v>
      </c>
      <c r="P52" s="174">
        <v>13267.3668</v>
      </c>
      <c r="Q52" s="216">
        <f t="shared" ref="Q52:Q64" si="14">O52-P52</f>
        <v>846.85319999999956</v>
      </c>
      <c r="R52" s="60"/>
      <c r="S52" s="60"/>
      <c r="T52" s="54"/>
      <c r="U52" s="55"/>
      <c r="V52" s="59"/>
      <c r="W52" s="61"/>
      <c r="X52" s="11"/>
      <c r="Y52" s="11"/>
      <c r="Z52" s="177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</row>
    <row r="53" spans="1:44" s="13" customFormat="1" ht="27" customHeight="1">
      <c r="A53" s="217">
        <v>35</v>
      </c>
      <c r="B53" s="208" t="s">
        <v>229</v>
      </c>
      <c r="C53" s="178"/>
      <c r="D53" s="199"/>
      <c r="E53" s="174"/>
      <c r="F53" s="174"/>
      <c r="G53" s="174"/>
      <c r="H53" s="211"/>
      <c r="I53" s="212"/>
      <c r="J53" s="174"/>
      <c r="K53" s="174"/>
      <c r="L53" s="174"/>
      <c r="M53" s="194">
        <v>1.0569999999999999</v>
      </c>
      <c r="N53" s="189"/>
      <c r="O53" s="174">
        <v>24238.44</v>
      </c>
      <c r="P53" s="174">
        <v>22784.133600000001</v>
      </c>
      <c r="Q53" s="216">
        <f t="shared" si="14"/>
        <v>1454.3063999999977</v>
      </c>
      <c r="R53" s="60"/>
      <c r="S53" s="60"/>
      <c r="T53" s="54"/>
      <c r="U53" s="55"/>
      <c r="V53" s="59"/>
      <c r="W53" s="61"/>
      <c r="X53" s="11"/>
      <c r="Y53" s="11"/>
      <c r="Z53" s="177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</row>
    <row r="54" spans="1:44" s="13" customFormat="1" ht="30.75" customHeight="1">
      <c r="A54" s="217">
        <v>36</v>
      </c>
      <c r="B54" s="193" t="s">
        <v>230</v>
      </c>
      <c r="C54" s="178"/>
      <c r="D54" s="199"/>
      <c r="E54" s="174"/>
      <c r="F54" s="174"/>
      <c r="G54" s="174"/>
      <c r="H54" s="211"/>
      <c r="I54" s="212"/>
      <c r="J54" s="174"/>
      <c r="K54" s="174"/>
      <c r="L54" s="174"/>
      <c r="M54" s="178">
        <v>0.2</v>
      </c>
      <c r="N54" s="189"/>
      <c r="O54" s="174">
        <v>3436.29</v>
      </c>
      <c r="P54" s="174">
        <v>3230.1125999999999</v>
      </c>
      <c r="Q54" s="218">
        <f t="shared" si="14"/>
        <v>206.17740000000003</v>
      </c>
      <c r="R54" s="60"/>
      <c r="S54" s="60"/>
      <c r="T54" s="54"/>
      <c r="U54" s="55"/>
      <c r="V54" s="59"/>
      <c r="W54" s="61"/>
      <c r="X54" s="11"/>
      <c r="Y54" s="11"/>
      <c r="Z54" s="177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</row>
    <row r="55" spans="1:44" s="13" customFormat="1" ht="45" customHeight="1">
      <c r="A55" s="217">
        <v>37</v>
      </c>
      <c r="B55" s="208" t="s">
        <v>231</v>
      </c>
      <c r="C55" s="178"/>
      <c r="D55" s="199"/>
      <c r="E55" s="174"/>
      <c r="F55" s="174"/>
      <c r="G55" s="174" t="s">
        <v>6</v>
      </c>
      <c r="H55" s="211"/>
      <c r="I55" s="212"/>
      <c r="J55" s="174"/>
      <c r="K55" s="174"/>
      <c r="L55" s="174"/>
      <c r="M55" s="194">
        <v>0.48799999999999999</v>
      </c>
      <c r="N55" s="189"/>
      <c r="O55" s="174">
        <v>5940.11</v>
      </c>
      <c r="P55" s="174">
        <v>5583.7034000000003</v>
      </c>
      <c r="Q55" s="216">
        <f t="shared" si="14"/>
        <v>356.40659999999934</v>
      </c>
      <c r="R55" s="60"/>
      <c r="S55" s="60"/>
      <c r="T55" s="54"/>
      <c r="U55" s="55"/>
      <c r="V55" s="59"/>
      <c r="W55" s="61"/>
      <c r="X55" s="11"/>
      <c r="Y55" s="11"/>
      <c r="Z55" s="177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</row>
    <row r="56" spans="1:44" s="13" customFormat="1" ht="65.25" customHeight="1">
      <c r="A56" s="217">
        <v>38</v>
      </c>
      <c r="B56" s="208" t="s">
        <v>266</v>
      </c>
      <c r="C56" s="178"/>
      <c r="D56" s="199"/>
      <c r="E56" s="174"/>
      <c r="F56" s="174"/>
      <c r="G56" s="174"/>
      <c r="H56" s="211"/>
      <c r="I56" s="212"/>
      <c r="J56" s="174"/>
      <c r="K56" s="174"/>
      <c r="L56" s="174"/>
      <c r="M56" s="194">
        <v>0.222</v>
      </c>
      <c r="N56" s="189"/>
      <c r="O56" s="174">
        <v>3412.98</v>
      </c>
      <c r="P56" s="174">
        <v>3208.2012</v>
      </c>
      <c r="Q56" s="216">
        <f t="shared" si="14"/>
        <v>204.77880000000005</v>
      </c>
      <c r="R56" s="60"/>
      <c r="S56" s="60"/>
      <c r="T56" s="54"/>
      <c r="U56" s="55"/>
      <c r="V56" s="59"/>
      <c r="W56" s="61"/>
      <c r="X56" s="11"/>
      <c r="Y56" s="11"/>
      <c r="Z56" s="177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</row>
    <row r="57" spans="1:44" s="13" customFormat="1" ht="30.75" customHeight="1">
      <c r="A57" s="217">
        <v>39</v>
      </c>
      <c r="B57" s="208" t="s">
        <v>232</v>
      </c>
      <c r="C57" s="178"/>
      <c r="D57" s="199"/>
      <c r="E57" s="174"/>
      <c r="F57" s="174"/>
      <c r="G57" s="174"/>
      <c r="H57" s="211"/>
      <c r="I57" s="212"/>
      <c r="J57" s="174" t="s">
        <v>87</v>
      </c>
      <c r="K57" s="174"/>
      <c r="L57" s="174"/>
      <c r="M57" s="194">
        <v>0.27500000000000002</v>
      </c>
      <c r="N57" s="189"/>
      <c r="O57" s="174">
        <v>4501.17</v>
      </c>
      <c r="P57" s="174">
        <v>4231.0998</v>
      </c>
      <c r="Q57" s="216">
        <f t="shared" si="14"/>
        <v>270.07020000000011</v>
      </c>
      <c r="R57" s="60"/>
      <c r="S57" s="60"/>
      <c r="T57" s="54"/>
      <c r="U57" s="55"/>
      <c r="V57" s="59"/>
      <c r="W57" s="61"/>
      <c r="X57" s="11"/>
      <c r="Y57" s="11"/>
      <c r="Z57" s="177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</row>
    <row r="58" spans="1:44" s="13" customFormat="1" ht="45" customHeight="1">
      <c r="A58" s="217">
        <v>40</v>
      </c>
      <c r="B58" s="208" t="s">
        <v>234</v>
      </c>
      <c r="C58" s="178"/>
      <c r="D58" s="199"/>
      <c r="E58" s="174"/>
      <c r="F58" s="174"/>
      <c r="G58" s="174"/>
      <c r="H58" s="211"/>
      <c r="I58" s="212"/>
      <c r="J58" s="174" t="s">
        <v>15</v>
      </c>
      <c r="K58" s="174"/>
      <c r="L58" s="174"/>
      <c r="M58" s="194">
        <v>0.72</v>
      </c>
      <c r="N58" s="189"/>
      <c r="O58" s="174">
        <v>10898.96</v>
      </c>
      <c r="P58" s="174">
        <v>10245.0224</v>
      </c>
      <c r="Q58" s="216">
        <f t="shared" si="14"/>
        <v>653.93759999999929</v>
      </c>
      <c r="R58" s="60"/>
      <c r="S58" s="60"/>
      <c r="T58" s="54"/>
      <c r="U58" s="55"/>
      <c r="V58" s="59"/>
      <c r="W58" s="61"/>
      <c r="X58" s="11"/>
      <c r="Y58" s="11"/>
      <c r="Z58" s="177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</row>
    <row r="59" spans="1:44" s="13" customFormat="1" ht="39" customHeight="1">
      <c r="A59" s="217">
        <v>41</v>
      </c>
      <c r="B59" s="208" t="s">
        <v>235</v>
      </c>
      <c r="C59" s="178"/>
      <c r="D59" s="199"/>
      <c r="E59" s="174"/>
      <c r="F59" s="174"/>
      <c r="G59" s="174"/>
      <c r="H59" s="211"/>
      <c r="I59" s="212"/>
      <c r="J59" s="174"/>
      <c r="K59" s="174"/>
      <c r="L59" s="174"/>
      <c r="M59" s="194">
        <v>3.641</v>
      </c>
      <c r="N59" s="189"/>
      <c r="O59" s="174">
        <v>70263.600000000006</v>
      </c>
      <c r="P59" s="174">
        <v>66047.784</v>
      </c>
      <c r="Q59" s="216">
        <f t="shared" si="14"/>
        <v>4215.8160000000062</v>
      </c>
      <c r="R59" s="60"/>
      <c r="S59" s="60"/>
      <c r="T59" s="54"/>
      <c r="U59" s="55"/>
      <c r="V59" s="59"/>
      <c r="W59" s="61"/>
      <c r="X59" s="11"/>
      <c r="Y59" s="11"/>
      <c r="Z59" s="177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</row>
    <row r="60" spans="1:44" s="13" customFormat="1" ht="24.75" customHeight="1">
      <c r="A60" s="217">
        <v>42</v>
      </c>
      <c r="B60" s="208" t="s">
        <v>38</v>
      </c>
      <c r="C60" s="178"/>
      <c r="D60" s="199"/>
      <c r="E60" s="174"/>
      <c r="F60" s="174"/>
      <c r="G60" s="174"/>
      <c r="H60" s="211" t="s">
        <v>87</v>
      </c>
      <c r="I60" s="212"/>
      <c r="J60" s="174"/>
      <c r="K60" s="174"/>
      <c r="L60" s="174"/>
      <c r="M60" s="194">
        <v>3</v>
      </c>
      <c r="N60" s="189"/>
      <c r="O60" s="174">
        <v>30600</v>
      </c>
      <c r="P60" s="174">
        <v>28764</v>
      </c>
      <c r="Q60" s="216">
        <f t="shared" si="14"/>
        <v>1836</v>
      </c>
      <c r="R60" s="60"/>
      <c r="S60" s="60"/>
      <c r="T60" s="54"/>
      <c r="U60" s="55"/>
      <c r="V60" s="59"/>
      <c r="W60" s="61"/>
      <c r="X60" s="11"/>
      <c r="Y60" s="11"/>
      <c r="Z60" s="177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</row>
    <row r="61" spans="1:44" s="13" customFormat="1" ht="23.25" customHeight="1">
      <c r="A61" s="217">
        <v>43</v>
      </c>
      <c r="B61" s="208" t="s">
        <v>236</v>
      </c>
      <c r="C61" s="178"/>
      <c r="D61" s="199"/>
      <c r="E61" s="174" t="s">
        <v>87</v>
      </c>
      <c r="F61" s="174"/>
      <c r="G61" s="174"/>
      <c r="H61" s="211"/>
      <c r="I61" s="212"/>
      <c r="J61" s="174"/>
      <c r="K61" s="174"/>
      <c r="L61" s="174"/>
      <c r="M61" s="194">
        <v>0.9</v>
      </c>
      <c r="N61" s="189"/>
      <c r="O61" s="174">
        <v>17100</v>
      </c>
      <c r="P61" s="174">
        <v>16074</v>
      </c>
      <c r="Q61" s="216">
        <f t="shared" si="14"/>
        <v>1026</v>
      </c>
      <c r="R61" s="60"/>
      <c r="S61" s="60"/>
      <c r="T61" s="54"/>
      <c r="U61" s="55"/>
      <c r="V61" s="59"/>
      <c r="W61" s="61"/>
      <c r="X61" s="11"/>
      <c r="Y61" s="11"/>
      <c r="Z61" s="177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1:44" s="13" customFormat="1" ht="41.25" customHeight="1">
      <c r="A62" s="217">
        <v>44</v>
      </c>
      <c r="B62" s="208" t="s">
        <v>237</v>
      </c>
      <c r="C62" s="178"/>
      <c r="D62" s="199"/>
      <c r="E62" s="174"/>
      <c r="F62" s="174"/>
      <c r="G62" s="174"/>
      <c r="H62" s="211"/>
      <c r="I62" s="212"/>
      <c r="J62" s="174"/>
      <c r="K62" s="174"/>
      <c r="L62" s="174"/>
      <c r="M62" s="194">
        <v>0.25</v>
      </c>
      <c r="N62" s="189"/>
      <c r="O62" s="174">
        <v>4750</v>
      </c>
      <c r="P62" s="174">
        <v>4465</v>
      </c>
      <c r="Q62" s="216">
        <f t="shared" si="14"/>
        <v>285</v>
      </c>
      <c r="R62" s="60"/>
      <c r="S62" s="60"/>
      <c r="T62" s="54"/>
      <c r="U62" s="55"/>
      <c r="V62" s="59"/>
      <c r="W62" s="61"/>
      <c r="X62" s="11"/>
      <c r="Y62" s="11"/>
      <c r="Z62" s="177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pans="1:44" s="13" customFormat="1" ht="24" customHeight="1">
      <c r="A63" s="217">
        <v>45</v>
      </c>
      <c r="B63" s="208" t="s">
        <v>238</v>
      </c>
      <c r="C63" s="178"/>
      <c r="D63" s="199"/>
      <c r="E63" s="174"/>
      <c r="F63" s="174"/>
      <c r="G63" s="174"/>
      <c r="H63" s="211"/>
      <c r="I63" s="212"/>
      <c r="J63" s="174"/>
      <c r="K63" s="174"/>
      <c r="L63" s="174"/>
      <c r="M63" s="194">
        <v>0.2</v>
      </c>
      <c r="N63" s="189"/>
      <c r="O63" s="174">
        <v>4371.42857</v>
      </c>
      <c r="P63" s="174">
        <v>4109.1428599999999</v>
      </c>
      <c r="Q63" s="216">
        <f t="shared" si="14"/>
        <v>262.28571000000011</v>
      </c>
      <c r="R63" s="60"/>
      <c r="S63" s="60"/>
      <c r="T63" s="54"/>
      <c r="U63" s="55"/>
      <c r="V63" s="59"/>
      <c r="W63" s="61"/>
      <c r="X63" s="11"/>
      <c r="Y63" s="11"/>
      <c r="Z63" s="177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1:44" s="13" customFormat="1" ht="24.75" customHeight="1">
      <c r="A64" s="217">
        <v>46</v>
      </c>
      <c r="B64" s="208" t="s">
        <v>239</v>
      </c>
      <c r="C64" s="178"/>
      <c r="D64" s="199"/>
      <c r="E64" s="174"/>
      <c r="F64" s="174"/>
      <c r="G64" s="174"/>
      <c r="H64" s="211"/>
      <c r="I64" s="212"/>
      <c r="J64" s="174"/>
      <c r="K64" s="174"/>
      <c r="L64" s="174"/>
      <c r="M64" s="194">
        <v>0.86</v>
      </c>
      <c r="N64" s="189"/>
      <c r="O64" s="174">
        <v>18612.52</v>
      </c>
      <c r="P64" s="174">
        <v>17495.768800000002</v>
      </c>
      <c r="Q64" s="216">
        <f t="shared" si="14"/>
        <v>1116.7511999999988</v>
      </c>
      <c r="R64" s="60"/>
      <c r="S64" s="60"/>
      <c r="T64" s="54"/>
      <c r="U64" s="55"/>
      <c r="V64" s="59"/>
      <c r="W64" s="61"/>
      <c r="X64" s="11"/>
      <c r="Y64" s="11"/>
      <c r="Z64" s="177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</row>
    <row r="65" spans="1:44" s="13" customFormat="1" ht="28.5" customHeight="1">
      <c r="A65" s="202"/>
      <c r="B65" s="203" t="s">
        <v>43</v>
      </c>
      <c r="C65" s="178">
        <f>SUM(C66:C71)</f>
        <v>16.742999999999999</v>
      </c>
      <c r="D65" s="190"/>
      <c r="E65" s="174">
        <f>SUM(E66:E72)</f>
        <v>174646.82432999997</v>
      </c>
      <c r="F65" s="174">
        <f>SUM(F66:F72)</f>
        <v>164167.99887020001</v>
      </c>
      <c r="G65" s="174">
        <f>SUM(G66:G72)</f>
        <v>10478.8254598</v>
      </c>
      <c r="H65" s="178">
        <f>SUM(H72:H80)</f>
        <v>21.787000000000003</v>
      </c>
      <c r="I65" s="189"/>
      <c r="J65" s="174">
        <f>SUM(J72:J80)</f>
        <v>184499.77051500001</v>
      </c>
      <c r="K65" s="174">
        <f t="shared" ref="K65:L65" si="15">SUM(K72:K80)</f>
        <v>173429.80614209993</v>
      </c>
      <c r="L65" s="174">
        <f t="shared" si="15"/>
        <v>11069.964372900018</v>
      </c>
      <c r="M65" s="174">
        <f>SUM(M81:M86)</f>
        <v>1.167</v>
      </c>
      <c r="N65" s="174"/>
      <c r="O65" s="174">
        <f t="shared" ref="O65:Q65" si="16">SUM(O81:O86)</f>
        <v>39302.808319999996</v>
      </c>
      <c r="P65" s="67">
        <f t="shared" si="16"/>
        <v>36944.629110000002</v>
      </c>
      <c r="Q65" s="71">
        <f t="shared" si="16"/>
        <v>2358.1792099999971</v>
      </c>
      <c r="R65" s="60"/>
      <c r="S65" s="60"/>
      <c r="T65" s="54"/>
      <c r="U65" s="55"/>
      <c r="V65" s="59"/>
      <c r="W65" s="61"/>
      <c r="X65" s="11"/>
      <c r="Y65" s="11"/>
      <c r="Z65" s="4" t="s">
        <v>15</v>
      </c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1:44" s="13" customFormat="1" ht="27.75" customHeight="1">
      <c r="A66" s="202">
        <v>47</v>
      </c>
      <c r="B66" s="193" t="s">
        <v>44</v>
      </c>
      <c r="C66" s="178">
        <v>8.9819999999999993</v>
      </c>
      <c r="D66" s="189"/>
      <c r="E66" s="174">
        <v>49808.849269999999</v>
      </c>
      <c r="F66" s="174">
        <f t="shared" ref="F66:F71" si="17">E66*0.94</f>
        <v>46820.318313799995</v>
      </c>
      <c r="G66" s="191">
        <f t="shared" ref="G66:G72" si="18">E66-F66</f>
        <v>2988.5309562000039</v>
      </c>
      <c r="H66" s="189"/>
      <c r="I66" s="189"/>
      <c r="J66" s="189"/>
      <c r="K66" s="189"/>
      <c r="L66" s="189"/>
      <c r="M66" s="189"/>
      <c r="N66" s="189"/>
      <c r="O66" s="189"/>
      <c r="P66" s="57"/>
      <c r="Q66" s="59"/>
      <c r="R66" s="60"/>
      <c r="S66" s="60"/>
      <c r="T66" s="54"/>
      <c r="U66" s="55"/>
      <c r="V66" s="59"/>
      <c r="W66" s="61"/>
      <c r="X66" s="11"/>
      <c r="Y66" s="11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44" s="13" customFormat="1" ht="23.25" customHeight="1">
      <c r="A67" s="202">
        <v>48</v>
      </c>
      <c r="B67" s="193" t="s">
        <v>45</v>
      </c>
      <c r="C67" s="178">
        <v>1</v>
      </c>
      <c r="D67" s="190"/>
      <c r="E67" s="174">
        <v>8150.9138000000003</v>
      </c>
      <c r="F67" s="174">
        <f t="shared" si="17"/>
        <v>7661.858972</v>
      </c>
      <c r="G67" s="191">
        <f t="shared" si="18"/>
        <v>489.05482800000027</v>
      </c>
      <c r="H67" s="189"/>
      <c r="I67" s="189"/>
      <c r="J67" s="189"/>
      <c r="K67" s="189"/>
      <c r="L67" s="189"/>
      <c r="M67" s="189"/>
      <c r="N67" s="189"/>
      <c r="O67" s="189"/>
      <c r="P67" s="57"/>
      <c r="Q67" s="59"/>
      <c r="R67" s="60"/>
      <c r="S67" s="60"/>
      <c r="T67" s="54"/>
      <c r="U67" s="55"/>
      <c r="V67" s="59"/>
      <c r="W67" s="61"/>
      <c r="X67" s="11"/>
      <c r="Y67" s="11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44" s="13" customFormat="1" ht="27" customHeight="1">
      <c r="A68" s="202">
        <v>49</v>
      </c>
      <c r="B68" s="193" t="s">
        <v>36</v>
      </c>
      <c r="C68" s="178">
        <v>0.81499999999999995</v>
      </c>
      <c r="D68" s="190"/>
      <c r="E68" s="174">
        <v>5040.38</v>
      </c>
      <c r="F68" s="174">
        <f t="shared" si="17"/>
        <v>4737.9571999999998</v>
      </c>
      <c r="G68" s="191">
        <f t="shared" si="18"/>
        <v>302.42280000000028</v>
      </c>
      <c r="H68" s="189"/>
      <c r="I68" s="189"/>
      <c r="J68" s="189"/>
      <c r="K68" s="189"/>
      <c r="L68" s="189"/>
      <c r="M68" s="189"/>
      <c r="N68" s="189"/>
      <c r="O68" s="189"/>
      <c r="P68" s="57"/>
      <c r="Q68" s="59"/>
      <c r="R68" s="60"/>
      <c r="S68" s="60"/>
      <c r="T68" s="54"/>
      <c r="U68" s="55"/>
      <c r="V68" s="59"/>
      <c r="W68" s="61"/>
      <c r="X68" s="11"/>
      <c r="Y68" s="11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44" s="13" customFormat="1" ht="27" customHeight="1">
      <c r="A69" s="202">
        <v>50</v>
      </c>
      <c r="B69" s="193" t="s">
        <v>46</v>
      </c>
      <c r="C69" s="178">
        <v>2.6389999999999998</v>
      </c>
      <c r="D69" s="190"/>
      <c r="E69" s="174">
        <v>6373.5912600000001</v>
      </c>
      <c r="F69" s="174">
        <f t="shared" si="17"/>
        <v>5991.1757843999994</v>
      </c>
      <c r="G69" s="191">
        <f t="shared" si="18"/>
        <v>382.41547560000072</v>
      </c>
      <c r="H69" s="189"/>
      <c r="I69" s="189"/>
      <c r="J69" s="189"/>
      <c r="K69" s="189"/>
      <c r="L69" s="189"/>
      <c r="M69" s="189"/>
      <c r="N69" s="189"/>
      <c r="O69" s="189"/>
      <c r="P69" s="57"/>
      <c r="Q69" s="59"/>
      <c r="R69" s="60"/>
      <c r="S69" s="60"/>
      <c r="T69" s="54"/>
      <c r="U69" s="55"/>
      <c r="V69" s="59"/>
      <c r="W69" s="61" t="s">
        <v>35</v>
      </c>
      <c r="X69" s="11"/>
      <c r="Y69" s="11"/>
      <c r="Z69" s="4" t="s">
        <v>15</v>
      </c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44" s="13" customFormat="1" ht="27" customHeight="1">
      <c r="A70" s="202">
        <v>51</v>
      </c>
      <c r="B70" s="193" t="s">
        <v>47</v>
      </c>
      <c r="C70" s="178">
        <v>2.7749999999999999</v>
      </c>
      <c r="D70" s="190"/>
      <c r="E70" s="174">
        <v>16876.04</v>
      </c>
      <c r="F70" s="174">
        <f t="shared" si="17"/>
        <v>15863.4776</v>
      </c>
      <c r="G70" s="191">
        <f t="shared" si="18"/>
        <v>1012.5624000000007</v>
      </c>
      <c r="H70" s="189"/>
      <c r="I70" s="189"/>
      <c r="J70" s="189"/>
      <c r="K70" s="189"/>
      <c r="L70" s="189"/>
      <c r="M70" s="189"/>
      <c r="N70" s="189"/>
      <c r="O70" s="189"/>
      <c r="P70" s="57"/>
      <c r="Q70" s="59"/>
      <c r="R70" s="60"/>
      <c r="S70" s="60"/>
      <c r="T70" s="54"/>
      <c r="U70" s="55"/>
      <c r="V70" s="59"/>
      <c r="W70" s="61"/>
      <c r="X70" s="11"/>
      <c r="Y70" s="11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44" s="13" customFormat="1" ht="27" customHeight="1">
      <c r="A71" s="213">
        <v>52</v>
      </c>
      <c r="B71" s="193" t="s">
        <v>48</v>
      </c>
      <c r="C71" s="178">
        <v>0.53200000000000003</v>
      </c>
      <c r="D71" s="190"/>
      <c r="E71" s="174">
        <v>3290.65</v>
      </c>
      <c r="F71" s="174">
        <f t="shared" si="17"/>
        <v>3093.2109999999998</v>
      </c>
      <c r="G71" s="191">
        <f t="shared" si="18"/>
        <v>197.43900000000031</v>
      </c>
      <c r="H71" s="189"/>
      <c r="I71" s="189"/>
      <c r="J71" s="189"/>
      <c r="K71" s="189"/>
      <c r="L71" s="189"/>
      <c r="M71" s="189"/>
      <c r="N71" s="189"/>
      <c r="O71" s="189"/>
      <c r="P71" s="57"/>
      <c r="Q71" s="59"/>
      <c r="R71" s="60"/>
      <c r="S71" s="60"/>
      <c r="T71" s="54"/>
      <c r="U71" s="55"/>
      <c r="V71" s="59"/>
      <c r="W71" s="61"/>
      <c r="X71" s="11"/>
      <c r="Y71" s="11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44" s="13" customFormat="1" ht="27" customHeight="1">
      <c r="A72" s="213">
        <v>53</v>
      </c>
      <c r="B72" s="200" t="s">
        <v>217</v>
      </c>
      <c r="C72" s="178"/>
      <c r="D72" s="190"/>
      <c r="E72" s="174">
        <v>85106.4</v>
      </c>
      <c r="F72" s="174">
        <v>80000</v>
      </c>
      <c r="G72" s="191">
        <f t="shared" si="18"/>
        <v>5106.3999999999942</v>
      </c>
      <c r="H72" s="178">
        <v>10.36</v>
      </c>
      <c r="I72" s="189"/>
      <c r="J72" s="174">
        <v>25000</v>
      </c>
      <c r="K72" s="174">
        <f>J72*0.94</f>
        <v>23500</v>
      </c>
      <c r="L72" s="174">
        <f>J72-K72</f>
        <v>1500</v>
      </c>
      <c r="M72" s="189"/>
      <c r="N72" s="189"/>
      <c r="O72" s="189"/>
      <c r="P72" s="57"/>
      <c r="Q72" s="59"/>
      <c r="R72" s="79"/>
      <c r="S72" s="79"/>
      <c r="T72" s="80"/>
      <c r="U72" s="81"/>
      <c r="V72" s="82"/>
      <c r="W72" s="61"/>
      <c r="X72" s="11"/>
      <c r="Y72" s="11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1:44" s="13" customFormat="1" ht="27" customHeight="1">
      <c r="A73" s="213">
        <v>54</v>
      </c>
      <c r="B73" s="193" t="s">
        <v>49</v>
      </c>
      <c r="C73" s="178"/>
      <c r="D73" s="190"/>
      <c r="E73" s="192"/>
      <c r="F73" s="174"/>
      <c r="G73" s="191"/>
      <c r="H73" s="178">
        <v>3.1190000000000002</v>
      </c>
      <c r="I73" s="189"/>
      <c r="J73" s="174">
        <v>45706.320879999999</v>
      </c>
      <c r="K73" s="174">
        <f>J73*0.94</f>
        <v>42963.941627199994</v>
      </c>
      <c r="L73" s="174">
        <f>J73-K73</f>
        <v>2742.3792528000049</v>
      </c>
      <c r="M73" s="189"/>
      <c r="N73" s="189"/>
      <c r="O73" s="189"/>
      <c r="P73" s="57"/>
      <c r="Q73" s="59"/>
      <c r="R73" s="79"/>
      <c r="S73" s="79"/>
      <c r="T73" s="80"/>
      <c r="U73" s="81"/>
      <c r="V73" s="82"/>
      <c r="W73" s="61"/>
      <c r="X73" s="11"/>
      <c r="Y73" s="11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</row>
    <row r="74" spans="1:44" s="13" customFormat="1" ht="27" customHeight="1">
      <c r="A74" s="213">
        <v>55</v>
      </c>
      <c r="B74" s="193" t="s">
        <v>50</v>
      </c>
      <c r="C74" s="178"/>
      <c r="D74" s="190"/>
      <c r="E74" s="192"/>
      <c r="F74" s="174"/>
      <c r="G74" s="191"/>
      <c r="H74" s="178">
        <v>7.4240000000000004</v>
      </c>
      <c r="I74" s="189"/>
      <c r="J74" s="174">
        <v>103102.0194</v>
      </c>
      <c r="K74" s="174">
        <f>J74*0.94</f>
        <v>96915.898235999994</v>
      </c>
      <c r="L74" s="174">
        <f>J74-K74</f>
        <v>6186.121164000011</v>
      </c>
      <c r="M74" s="189"/>
      <c r="N74" s="189"/>
      <c r="O74" s="189"/>
      <c r="P74" s="57"/>
      <c r="Q74" s="59"/>
      <c r="R74" s="79"/>
      <c r="S74" s="79"/>
      <c r="T74" s="80"/>
      <c r="U74" s="81"/>
      <c r="V74" s="82"/>
      <c r="W74" s="61"/>
      <c r="X74" s="11"/>
      <c r="Y74" s="11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</row>
    <row r="75" spans="1:44" s="13" customFormat="1" ht="36" customHeight="1">
      <c r="A75" s="213">
        <v>56</v>
      </c>
      <c r="B75" s="193" t="s">
        <v>51</v>
      </c>
      <c r="C75" s="178"/>
      <c r="D75" s="190"/>
      <c r="E75" s="192"/>
      <c r="F75" s="174"/>
      <c r="G75" s="191"/>
      <c r="H75" s="178">
        <v>0.2</v>
      </c>
      <c r="I75" s="189"/>
      <c r="J75" s="174">
        <v>3149.0812099999998</v>
      </c>
      <c r="K75" s="174">
        <f>J75*0.94</f>
        <v>2960.1363373999998</v>
      </c>
      <c r="L75" s="174">
        <f>J75-K75</f>
        <v>188.94487260000005</v>
      </c>
      <c r="M75" s="189"/>
      <c r="N75" s="189"/>
      <c r="O75" s="189"/>
      <c r="P75" s="57"/>
      <c r="Q75" s="59"/>
      <c r="R75" s="79"/>
      <c r="S75" s="79"/>
      <c r="T75" s="80"/>
      <c r="U75" s="81"/>
      <c r="V75" s="82"/>
      <c r="W75" s="61"/>
      <c r="X75" s="11"/>
      <c r="Y75" s="11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</row>
    <row r="76" spans="1:44" s="13" customFormat="1" ht="39" customHeight="1">
      <c r="A76" s="213">
        <v>57</v>
      </c>
      <c r="B76" s="193" t="s">
        <v>227</v>
      </c>
      <c r="C76" s="178"/>
      <c r="D76" s="190"/>
      <c r="E76" s="192"/>
      <c r="F76" s="174"/>
      <c r="G76" s="191"/>
      <c r="H76" s="178">
        <v>0.21299999999999999</v>
      </c>
      <c r="I76" s="214"/>
      <c r="J76" s="174">
        <v>1805.16</v>
      </c>
      <c r="K76" s="174">
        <f t="shared" ref="K76:K79" si="19">J76*0.94</f>
        <v>1696.8504</v>
      </c>
      <c r="L76" s="174">
        <f t="shared" ref="L76:L80" si="20">J76-K76</f>
        <v>108.30960000000005</v>
      </c>
      <c r="M76" s="189"/>
      <c r="N76" s="189"/>
      <c r="O76" s="189"/>
      <c r="P76" s="57"/>
      <c r="Q76" s="59"/>
      <c r="R76" s="79"/>
      <c r="S76" s="79"/>
      <c r="T76" s="80"/>
      <c r="U76" s="81"/>
      <c r="V76" s="82"/>
      <c r="W76" s="61"/>
      <c r="X76" s="11"/>
      <c r="Y76" s="11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</row>
    <row r="77" spans="1:44" s="13" customFormat="1" ht="42.75" customHeight="1">
      <c r="A77" s="213">
        <v>58</v>
      </c>
      <c r="B77" s="193" t="s">
        <v>228</v>
      </c>
      <c r="C77" s="178"/>
      <c r="D77" s="190"/>
      <c r="E77" s="192"/>
      <c r="F77" s="174"/>
      <c r="G77" s="191"/>
      <c r="H77" s="178">
        <v>0.251</v>
      </c>
      <c r="I77" s="214"/>
      <c r="J77" s="174">
        <v>2995.9869100000001</v>
      </c>
      <c r="K77" s="174">
        <v>2816.2276999999999</v>
      </c>
      <c r="L77" s="174">
        <f t="shared" si="20"/>
        <v>179.75921000000017</v>
      </c>
      <c r="M77" s="189"/>
      <c r="N77" s="189"/>
      <c r="O77" s="189"/>
      <c r="P77" s="57"/>
      <c r="Q77" s="59"/>
      <c r="R77" s="79"/>
      <c r="S77" s="79"/>
      <c r="T77" s="80"/>
      <c r="U77" s="81"/>
      <c r="V77" s="82"/>
      <c r="W77" s="61"/>
      <c r="X77" s="11"/>
      <c r="Y77" s="11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</row>
    <row r="78" spans="1:44" s="13" customFormat="1" ht="26.25" customHeight="1">
      <c r="A78" s="213">
        <v>59</v>
      </c>
      <c r="B78" s="193" t="s">
        <v>233</v>
      </c>
      <c r="C78" s="178"/>
      <c r="D78" s="190"/>
      <c r="E78" s="192"/>
      <c r="F78" s="174"/>
      <c r="G78" s="191"/>
      <c r="H78" s="178">
        <v>0.1</v>
      </c>
      <c r="I78" s="205"/>
      <c r="J78" s="174">
        <v>1326.2891460000001</v>
      </c>
      <c r="K78" s="174">
        <f t="shared" si="19"/>
        <v>1246.7117972399999</v>
      </c>
      <c r="L78" s="174">
        <f t="shared" si="20"/>
        <v>79.577348760000177</v>
      </c>
      <c r="M78" s="189"/>
      <c r="N78" s="189"/>
      <c r="O78" s="189"/>
      <c r="P78" s="57"/>
      <c r="Q78" s="59"/>
      <c r="R78" s="79"/>
      <c r="S78" s="79"/>
      <c r="T78" s="80"/>
      <c r="U78" s="81"/>
      <c r="V78" s="82"/>
      <c r="W78" s="61"/>
      <c r="X78" s="11"/>
      <c r="Y78" s="11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1:44" s="13" customFormat="1" ht="27" customHeight="1">
      <c r="A79" s="213">
        <v>60</v>
      </c>
      <c r="B79" s="193" t="s">
        <v>240</v>
      </c>
      <c r="C79" s="178"/>
      <c r="D79" s="190"/>
      <c r="E79" s="192"/>
      <c r="F79" s="174"/>
      <c r="G79" s="191"/>
      <c r="H79" s="178">
        <v>0.02</v>
      </c>
      <c r="I79" s="205"/>
      <c r="J79" s="174">
        <v>290.09607899999997</v>
      </c>
      <c r="K79" s="174">
        <f t="shared" si="19"/>
        <v>272.69031425999998</v>
      </c>
      <c r="L79" s="174">
        <f t="shared" si="20"/>
        <v>17.405764739999995</v>
      </c>
      <c r="M79" s="189"/>
      <c r="N79" s="189"/>
      <c r="O79" s="189"/>
      <c r="P79" s="57"/>
      <c r="Q79" s="59"/>
      <c r="R79" s="79"/>
      <c r="S79" s="79"/>
      <c r="T79" s="80"/>
      <c r="U79" s="81"/>
      <c r="V79" s="82"/>
      <c r="W79" s="61"/>
      <c r="X79" s="11"/>
      <c r="Y79" s="11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</row>
    <row r="80" spans="1:44" s="13" customFormat="1" ht="24.75" customHeight="1">
      <c r="A80" s="36">
        <v>61</v>
      </c>
      <c r="B80" s="193" t="s">
        <v>241</v>
      </c>
      <c r="C80" s="178"/>
      <c r="D80" s="190"/>
      <c r="E80" s="192"/>
      <c r="F80" s="174"/>
      <c r="G80" s="191"/>
      <c r="H80" s="65">
        <v>0.1</v>
      </c>
      <c r="I80" s="221"/>
      <c r="J80" s="67">
        <v>1124.8168900000001</v>
      </c>
      <c r="K80" s="174">
        <v>1057.3497299999999</v>
      </c>
      <c r="L80" s="174">
        <f t="shared" si="20"/>
        <v>67.467160000000149</v>
      </c>
      <c r="M80" s="57"/>
      <c r="N80" s="57"/>
      <c r="O80" s="57"/>
      <c r="P80" s="57"/>
      <c r="Q80" s="59"/>
      <c r="R80" s="79"/>
      <c r="S80" s="79"/>
      <c r="T80" s="80"/>
      <c r="U80" s="81"/>
      <c r="V80" s="82"/>
      <c r="W80" s="61"/>
      <c r="X80" s="176" t="s">
        <v>35</v>
      </c>
      <c r="Y80" s="11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</row>
    <row r="81" spans="1:44" s="13" customFormat="1" ht="24.75" customHeight="1">
      <c r="A81" s="36">
        <v>62</v>
      </c>
      <c r="B81" s="193" t="s">
        <v>242</v>
      </c>
      <c r="C81" s="178"/>
      <c r="D81" s="190"/>
      <c r="E81" s="192"/>
      <c r="F81" s="174"/>
      <c r="G81" s="191"/>
      <c r="H81" s="65"/>
      <c r="I81" s="201"/>
      <c r="J81" s="67"/>
      <c r="K81" s="174"/>
      <c r="L81" s="174"/>
      <c r="M81" s="183">
        <v>0.03</v>
      </c>
      <c r="N81" s="57"/>
      <c r="O81" s="174">
        <v>469.04</v>
      </c>
      <c r="P81" s="174">
        <v>440.89760000000001</v>
      </c>
      <c r="Q81" s="218">
        <f>O81-P81</f>
        <v>28.142400000000009</v>
      </c>
      <c r="R81" s="79"/>
      <c r="S81" s="79"/>
      <c r="T81" s="80"/>
      <c r="U81" s="81"/>
      <c r="V81" s="82"/>
      <c r="W81" s="61"/>
      <c r="X81" s="11"/>
      <c r="Y81" s="11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</row>
    <row r="82" spans="1:44" s="13" customFormat="1" ht="24.75" customHeight="1">
      <c r="A82" s="36">
        <v>63</v>
      </c>
      <c r="B82" s="193" t="s">
        <v>243</v>
      </c>
      <c r="C82" s="178"/>
      <c r="D82" s="190"/>
      <c r="E82" s="192"/>
      <c r="F82" s="174"/>
      <c r="G82" s="191"/>
      <c r="H82" s="65"/>
      <c r="I82" s="201"/>
      <c r="J82" s="67"/>
      <c r="K82" s="174"/>
      <c r="L82" s="174"/>
      <c r="M82" s="183">
        <v>7.1999999999999995E-2</v>
      </c>
      <c r="N82" s="57"/>
      <c r="O82" s="174">
        <v>1194.72</v>
      </c>
      <c r="P82" s="174">
        <v>1123.0368000000001</v>
      </c>
      <c r="Q82" s="218">
        <f t="shared" ref="Q82:Q86" si="21">O82-P82</f>
        <v>71.683199999999943</v>
      </c>
      <c r="R82" s="79"/>
      <c r="S82" s="79"/>
      <c r="T82" s="80"/>
      <c r="U82" s="81"/>
      <c r="V82" s="82"/>
      <c r="W82" s="61"/>
      <c r="X82" s="11"/>
      <c r="Y82" s="11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</row>
    <row r="83" spans="1:44" s="13" customFormat="1" ht="24.75" customHeight="1">
      <c r="A83" s="36">
        <v>64</v>
      </c>
      <c r="B83" s="193" t="s">
        <v>244</v>
      </c>
      <c r="C83" s="178"/>
      <c r="D83" s="190"/>
      <c r="E83" s="192"/>
      <c r="F83" s="174"/>
      <c r="G83" s="191"/>
      <c r="H83" s="65"/>
      <c r="I83" s="201"/>
      <c r="J83" s="67"/>
      <c r="K83" s="174"/>
      <c r="L83" s="174"/>
      <c r="M83" s="183">
        <v>6.2E-2</v>
      </c>
      <c r="N83" s="57"/>
      <c r="O83" s="174">
        <v>1115.2</v>
      </c>
      <c r="P83" s="174">
        <v>1048.288</v>
      </c>
      <c r="Q83" s="218">
        <f t="shared" si="21"/>
        <v>66.912000000000035</v>
      </c>
      <c r="R83" s="79"/>
      <c r="S83" s="79"/>
      <c r="T83" s="80"/>
      <c r="U83" s="81"/>
      <c r="V83" s="82"/>
      <c r="W83" s="61"/>
      <c r="X83" s="11"/>
      <c r="Y83" s="11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</row>
    <row r="84" spans="1:44" s="13" customFormat="1" ht="46.5" customHeight="1">
      <c r="A84" s="36">
        <v>65</v>
      </c>
      <c r="B84" s="193" t="s">
        <v>245</v>
      </c>
      <c r="C84" s="178"/>
      <c r="D84" s="190"/>
      <c r="E84" s="192"/>
      <c r="F84" s="174"/>
      <c r="G84" s="191"/>
      <c r="H84" s="65"/>
      <c r="I84" s="201"/>
      <c r="J84" s="67"/>
      <c r="K84" s="174"/>
      <c r="L84" s="174"/>
      <c r="M84" s="183">
        <v>0.153</v>
      </c>
      <c r="N84" s="57"/>
      <c r="O84" s="174">
        <v>6250.7183199999999</v>
      </c>
      <c r="P84" s="174">
        <v>5875.6752200000001</v>
      </c>
      <c r="Q84" s="218">
        <f t="shared" si="21"/>
        <v>375.04309999999987</v>
      </c>
      <c r="R84" s="79"/>
      <c r="S84" s="79"/>
      <c r="T84" s="80"/>
      <c r="U84" s="81"/>
      <c r="V84" s="82"/>
      <c r="W84" s="61"/>
      <c r="X84" s="11"/>
      <c r="Y84" s="11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</row>
    <row r="85" spans="1:44" s="13" customFormat="1" ht="24.75" customHeight="1">
      <c r="A85" s="36">
        <v>66</v>
      </c>
      <c r="B85" s="193" t="s">
        <v>246</v>
      </c>
      <c r="C85" s="178"/>
      <c r="D85" s="190"/>
      <c r="E85" s="192"/>
      <c r="F85" s="174"/>
      <c r="G85" s="191"/>
      <c r="H85" s="65"/>
      <c r="I85" s="201"/>
      <c r="J85" s="67"/>
      <c r="K85" s="174"/>
      <c r="L85" s="174"/>
      <c r="M85" s="183">
        <v>0.17299999999999999</v>
      </c>
      <c r="N85" s="57"/>
      <c r="O85" s="174">
        <v>16952.169999999998</v>
      </c>
      <c r="P85" s="174">
        <v>15935.0398</v>
      </c>
      <c r="Q85" s="218">
        <f t="shared" si="21"/>
        <v>1017.1301999999978</v>
      </c>
      <c r="R85" s="79"/>
      <c r="S85" s="79"/>
      <c r="T85" s="80"/>
      <c r="U85" s="81"/>
      <c r="V85" s="82"/>
      <c r="W85" s="61"/>
      <c r="X85" s="11"/>
      <c r="Y85" s="11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</row>
    <row r="86" spans="1:44" s="13" customFormat="1" ht="30.75" customHeight="1">
      <c r="A86" s="36">
        <v>67</v>
      </c>
      <c r="B86" s="193" t="s">
        <v>247</v>
      </c>
      <c r="C86" s="178"/>
      <c r="D86" s="190"/>
      <c r="E86" s="192"/>
      <c r="F86" s="174"/>
      <c r="G86" s="191"/>
      <c r="H86" s="65"/>
      <c r="I86" s="201"/>
      <c r="J86" s="67"/>
      <c r="K86" s="174"/>
      <c r="L86" s="174"/>
      <c r="M86" s="183">
        <v>0.67700000000000005</v>
      </c>
      <c r="N86" s="57"/>
      <c r="O86" s="174">
        <v>13320.96</v>
      </c>
      <c r="P86" s="174">
        <v>12521.69169</v>
      </c>
      <c r="Q86" s="218">
        <f t="shared" si="21"/>
        <v>799.26830999999947</v>
      </c>
      <c r="R86" s="79"/>
      <c r="S86" s="79"/>
      <c r="T86" s="80"/>
      <c r="U86" s="81"/>
      <c r="V86" s="82"/>
      <c r="W86" s="61"/>
      <c r="X86" s="11"/>
      <c r="Y86" s="11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</row>
    <row r="87" spans="1:44" s="13" customFormat="1" ht="27" customHeight="1">
      <c r="A87" s="36"/>
      <c r="B87" s="83" t="s">
        <v>52</v>
      </c>
      <c r="C87" s="57">
        <f>SUM(C89)+C90</f>
        <v>1.3919999999999999</v>
      </c>
      <c r="D87" s="84"/>
      <c r="E87" s="85">
        <f>E89+E90</f>
        <v>28663.3</v>
      </c>
      <c r="F87" s="85">
        <f>F89+F90</f>
        <v>26943.5</v>
      </c>
      <c r="G87" s="85">
        <f>G89+G90</f>
        <v>1719.8</v>
      </c>
      <c r="H87" s="85">
        <f>H92</f>
        <v>0.85199999999999998</v>
      </c>
      <c r="I87" s="85">
        <f>I91</f>
        <v>18</v>
      </c>
      <c r="J87" s="85">
        <f>J91+J92</f>
        <v>87683</v>
      </c>
      <c r="K87" s="85">
        <f>K91+K92</f>
        <v>82422</v>
      </c>
      <c r="L87" s="86">
        <f>L91+L92</f>
        <v>5260.9999999999945</v>
      </c>
      <c r="M87" s="86">
        <f>M93</f>
        <v>0.51200000000000001</v>
      </c>
      <c r="N87" s="86"/>
      <c r="O87" s="86">
        <f>O93</f>
        <v>9836.7000000000007</v>
      </c>
      <c r="P87" s="86">
        <f>P93</f>
        <v>9246.5</v>
      </c>
      <c r="Q87" s="87">
        <f>Q93</f>
        <v>590.20000000000073</v>
      </c>
      <c r="R87" s="88" t="e">
        <f>#REF!+#REF!</f>
        <v>#REF!</v>
      </c>
      <c r="S87" s="88"/>
      <c r="T87" s="89" t="e">
        <f>#REF!+#REF!</f>
        <v>#REF!</v>
      </c>
      <c r="U87" s="90" t="e">
        <f>#REF!+#REF!</f>
        <v>#REF!</v>
      </c>
      <c r="V87" s="91" t="e">
        <f>#REF!+#REF!</f>
        <v>#REF!</v>
      </c>
      <c r="W87" s="215">
        <f>K87/J87*100</f>
        <v>93.999977190561452</v>
      </c>
      <c r="X87" s="11"/>
      <c r="Y87" s="11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</row>
    <row r="88" spans="1:44" s="13" customFormat="1" ht="24.95" customHeight="1">
      <c r="A88" s="36"/>
      <c r="B88" s="64" t="s">
        <v>53</v>
      </c>
      <c r="C88" s="57"/>
      <c r="D88" s="84"/>
      <c r="E88" s="85"/>
      <c r="F88" s="85"/>
      <c r="G88" s="92"/>
      <c r="H88" s="85"/>
      <c r="I88" s="85"/>
      <c r="J88" s="85"/>
      <c r="K88" s="85"/>
      <c r="L88" s="86"/>
      <c r="M88" s="86"/>
      <c r="N88" s="86"/>
      <c r="O88" s="86"/>
      <c r="P88" s="86"/>
      <c r="Q88" s="87"/>
      <c r="R88" s="88"/>
      <c r="S88" s="88"/>
      <c r="T88" s="89"/>
      <c r="U88" s="90"/>
      <c r="V88" s="91"/>
      <c r="W88" s="11"/>
      <c r="X88" s="11"/>
      <c r="Y88" s="11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</row>
    <row r="89" spans="1:44" s="13" customFormat="1" ht="21" customHeight="1">
      <c r="A89" s="63">
        <v>68</v>
      </c>
      <c r="B89" s="64" t="s">
        <v>54</v>
      </c>
      <c r="C89" s="65">
        <v>0.73</v>
      </c>
      <c r="D89" s="93"/>
      <c r="E89" s="67">
        <v>7163.3</v>
      </c>
      <c r="F89" s="67">
        <v>6733.5</v>
      </c>
      <c r="G89" s="68">
        <v>429.8</v>
      </c>
      <c r="H89" s="94"/>
      <c r="I89" s="94"/>
      <c r="J89" s="94"/>
      <c r="K89" s="94"/>
      <c r="L89" s="94"/>
      <c r="M89" s="94"/>
      <c r="N89" s="94"/>
      <c r="O89" s="94"/>
      <c r="P89" s="94"/>
      <c r="Q89" s="95"/>
      <c r="R89" s="77"/>
      <c r="S89" s="77"/>
      <c r="T89" s="94"/>
      <c r="U89" s="96"/>
      <c r="V89" s="50"/>
      <c r="W89" s="11"/>
      <c r="X89" s="11"/>
      <c r="Y89" s="11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</row>
    <row r="90" spans="1:44" s="13" customFormat="1" ht="23.25" customHeight="1">
      <c r="A90" s="36">
        <v>69</v>
      </c>
      <c r="B90" s="64" t="s">
        <v>55</v>
      </c>
      <c r="C90" s="65">
        <v>0.66200000000000003</v>
      </c>
      <c r="D90" s="93"/>
      <c r="E90" s="67">
        <v>21500</v>
      </c>
      <c r="F90" s="67">
        <v>20210</v>
      </c>
      <c r="G90" s="68">
        <v>1290</v>
      </c>
      <c r="H90" s="94"/>
      <c r="I90" s="94"/>
      <c r="J90" s="94"/>
      <c r="K90" s="94"/>
      <c r="L90" s="94"/>
      <c r="M90" s="94"/>
      <c r="N90" s="94"/>
      <c r="O90" s="94"/>
      <c r="P90" s="94"/>
      <c r="Q90" s="95"/>
      <c r="R90" s="77"/>
      <c r="S90" s="77"/>
      <c r="T90" s="94"/>
      <c r="U90" s="96"/>
      <c r="V90" s="50"/>
      <c r="W90" s="11"/>
      <c r="X90" s="11"/>
      <c r="Y90" s="11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</row>
    <row r="91" spans="1:44" s="13" customFormat="1" ht="42" customHeight="1">
      <c r="A91" s="36">
        <v>70</v>
      </c>
      <c r="B91" s="64" t="s">
        <v>275</v>
      </c>
      <c r="C91" s="65"/>
      <c r="D91" s="93"/>
      <c r="E91" s="67"/>
      <c r="F91" s="67"/>
      <c r="G91" s="68"/>
      <c r="H91" s="94"/>
      <c r="I91" s="67">
        <f>6+12</f>
        <v>18</v>
      </c>
      <c r="J91" s="67">
        <v>11327</v>
      </c>
      <c r="K91" s="67">
        <v>10647.4</v>
      </c>
      <c r="L91" s="67">
        <f>J91-K91</f>
        <v>679.60000000000036</v>
      </c>
      <c r="M91" s="94"/>
      <c r="N91" s="94"/>
      <c r="O91" s="94"/>
      <c r="P91" s="94"/>
      <c r="Q91" s="95"/>
      <c r="R91" s="77"/>
      <c r="S91" s="77"/>
      <c r="T91" s="94"/>
      <c r="U91" s="96"/>
      <c r="V91" s="50"/>
      <c r="W91" s="11"/>
      <c r="X91" s="11"/>
      <c r="Y91" s="11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</row>
    <row r="92" spans="1:44" s="13" customFormat="1" ht="23.25" customHeight="1">
      <c r="A92" s="36">
        <v>71</v>
      </c>
      <c r="B92" s="78" t="s">
        <v>56</v>
      </c>
      <c r="C92" s="65"/>
      <c r="D92" s="93"/>
      <c r="E92" s="67"/>
      <c r="F92" s="67"/>
      <c r="G92" s="68"/>
      <c r="H92" s="65">
        <v>0.85199999999999998</v>
      </c>
      <c r="I92" s="67"/>
      <c r="J92" s="67">
        <v>76356</v>
      </c>
      <c r="K92" s="67">
        <v>71774.600000000006</v>
      </c>
      <c r="L92" s="67">
        <f>J92-K92</f>
        <v>4581.3999999999942</v>
      </c>
      <c r="M92" s="65"/>
      <c r="N92" s="57"/>
      <c r="O92" s="67"/>
      <c r="P92" s="67"/>
      <c r="Q92" s="71"/>
      <c r="R92" s="77"/>
      <c r="S92" s="77"/>
      <c r="T92" s="94"/>
      <c r="U92" s="96"/>
      <c r="V92" s="50"/>
      <c r="W92" s="11"/>
      <c r="X92" s="11"/>
      <c r="Y92" s="11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</row>
    <row r="93" spans="1:44" s="13" customFormat="1" ht="23.25" customHeight="1">
      <c r="A93" s="36">
        <v>72</v>
      </c>
      <c r="B93" s="78" t="s">
        <v>249</v>
      </c>
      <c r="C93" s="65"/>
      <c r="D93" s="93"/>
      <c r="E93" s="67"/>
      <c r="F93" s="67"/>
      <c r="G93" s="68"/>
      <c r="H93" s="65"/>
      <c r="I93" s="67"/>
      <c r="J93" s="67"/>
      <c r="K93" s="67"/>
      <c r="L93" s="67"/>
      <c r="M93" s="65">
        <v>0.51200000000000001</v>
      </c>
      <c r="N93" s="57"/>
      <c r="O93" s="67">
        <v>9836.7000000000007</v>
      </c>
      <c r="P93" s="67">
        <v>9246.5</v>
      </c>
      <c r="Q93" s="71">
        <f>O93-P93</f>
        <v>590.20000000000073</v>
      </c>
      <c r="R93" s="77"/>
      <c r="S93" s="77"/>
      <c r="T93" s="94"/>
      <c r="U93" s="96"/>
      <c r="V93" s="50"/>
      <c r="W93" s="11"/>
      <c r="X93" s="11"/>
      <c r="Y93" s="11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</row>
    <row r="94" spans="1:44" s="13" customFormat="1" ht="32.25" customHeight="1">
      <c r="A94" s="36"/>
      <c r="B94" s="83" t="s">
        <v>57</v>
      </c>
      <c r="C94" s="57">
        <f>SUM(C96:C98)</f>
        <v>2.3010000000000002</v>
      </c>
      <c r="D94" s="54"/>
      <c r="E94" s="57">
        <f>SUM(E96:E98)</f>
        <v>54627.979999999996</v>
      </c>
      <c r="F94" s="57">
        <f>SUM(F96:F98)</f>
        <v>51350.3</v>
      </c>
      <c r="G94" s="57">
        <f>SUM(G96:G98)</f>
        <v>3277.6800000000003</v>
      </c>
      <c r="H94" s="57">
        <f>H99+H101+H102+H103</f>
        <v>8.5330000000000013</v>
      </c>
      <c r="I94" s="57"/>
      <c r="J94" s="57">
        <f>J99+J101+J102+J103</f>
        <v>222689.36169999998</v>
      </c>
      <c r="K94" s="57">
        <f t="shared" ref="K94:L94" si="22">K99+K101+K102+K103</f>
        <v>209327.99999999997</v>
      </c>
      <c r="L94" s="57">
        <f t="shared" si="22"/>
        <v>13361.361699999999</v>
      </c>
      <c r="M94" s="97"/>
      <c r="N94" s="97"/>
      <c r="O94" s="97"/>
      <c r="P94" s="97"/>
      <c r="Q94" s="98"/>
      <c r="R94" s="60" t="e">
        <f>#REF!</f>
        <v>#REF!</v>
      </c>
      <c r="S94" s="57"/>
      <c r="T94" s="57" t="e">
        <f>#REF!</f>
        <v>#REF!</v>
      </c>
      <c r="U94" s="57" t="e">
        <f>#REF!</f>
        <v>#REF!</v>
      </c>
      <c r="V94" s="59" t="e">
        <f>#REF!</f>
        <v>#REF!</v>
      </c>
      <c r="W94" s="99"/>
      <c r="X94" s="11"/>
      <c r="Y94" s="11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</row>
    <row r="95" spans="1:44" s="13" customFormat="1" ht="36.75" customHeight="1">
      <c r="A95" s="36"/>
      <c r="B95" s="64" t="s">
        <v>259</v>
      </c>
      <c r="C95" s="57"/>
      <c r="D95" s="54"/>
      <c r="E95" s="57"/>
      <c r="F95" s="57"/>
      <c r="G95" s="58"/>
      <c r="H95" s="57"/>
      <c r="I95" s="57"/>
      <c r="J95" s="57"/>
      <c r="K95" s="57"/>
      <c r="L95" s="97"/>
      <c r="M95" s="97"/>
      <c r="N95" s="97"/>
      <c r="O95" s="97"/>
      <c r="P95" s="97"/>
      <c r="Q95" s="98"/>
      <c r="R95" s="60"/>
      <c r="S95" s="60"/>
      <c r="T95" s="57"/>
      <c r="U95" s="58"/>
      <c r="V95" s="59"/>
      <c r="W95" s="99"/>
      <c r="X95" s="11"/>
      <c r="Y95" s="11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</row>
    <row r="96" spans="1:44" s="13" customFormat="1" ht="24" customHeight="1">
      <c r="A96" s="63">
        <v>73</v>
      </c>
      <c r="B96" s="64" t="s">
        <v>58</v>
      </c>
      <c r="C96" s="65">
        <v>0.34100000000000003</v>
      </c>
      <c r="D96" s="93"/>
      <c r="E96" s="67">
        <v>10374.5</v>
      </c>
      <c r="F96" s="67">
        <v>9752</v>
      </c>
      <c r="G96" s="67">
        <f>E96-F96</f>
        <v>622.5</v>
      </c>
      <c r="H96" s="94"/>
      <c r="I96" s="94"/>
      <c r="J96" s="188"/>
      <c r="K96" s="188"/>
      <c r="L96" s="188"/>
      <c r="M96" s="94"/>
      <c r="N96" s="94"/>
      <c r="O96" s="94"/>
      <c r="P96" s="94"/>
      <c r="Q96" s="95"/>
      <c r="R96" s="77"/>
      <c r="S96" s="77"/>
      <c r="T96" s="94"/>
      <c r="U96" s="96"/>
      <c r="V96" s="50"/>
      <c r="W96" s="11"/>
      <c r="X96" s="11"/>
      <c r="Y96" s="11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</row>
    <row r="97" spans="1:44" s="13" customFormat="1" ht="27" customHeight="1">
      <c r="A97" s="63">
        <v>74</v>
      </c>
      <c r="B97" s="64" t="s">
        <v>59</v>
      </c>
      <c r="C97" s="65">
        <f>(1.25-0.57)+0.43</f>
        <v>1.1100000000000001</v>
      </c>
      <c r="D97" s="93"/>
      <c r="E97" s="67">
        <v>27638.82</v>
      </c>
      <c r="F97" s="67">
        <v>25980.5</v>
      </c>
      <c r="G97" s="67">
        <f>E97-F97</f>
        <v>1658.3199999999997</v>
      </c>
      <c r="H97" s="94"/>
      <c r="I97" s="94"/>
      <c r="J97" s="188"/>
      <c r="K97" s="188"/>
      <c r="L97" s="188"/>
      <c r="M97" s="94"/>
      <c r="N97" s="94"/>
      <c r="O97" s="94"/>
      <c r="P97" s="94"/>
      <c r="Q97" s="95"/>
      <c r="R97" s="77"/>
      <c r="S97" s="77"/>
      <c r="T97" s="94"/>
      <c r="U97" s="96"/>
      <c r="V97" s="50"/>
      <c r="W97" s="11"/>
      <c r="X97" s="11"/>
      <c r="Y97" s="11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</row>
    <row r="98" spans="1:44" s="13" customFormat="1" ht="57" customHeight="1">
      <c r="A98" s="63">
        <v>75</v>
      </c>
      <c r="B98" s="64" t="s">
        <v>60</v>
      </c>
      <c r="C98" s="65">
        <v>0.85</v>
      </c>
      <c r="D98" s="93"/>
      <c r="E98" s="67">
        <v>16614.66</v>
      </c>
      <c r="F98" s="67">
        <v>15617.8</v>
      </c>
      <c r="G98" s="67">
        <f>E98-F98</f>
        <v>996.86000000000058</v>
      </c>
      <c r="H98" s="94"/>
      <c r="I98" s="94"/>
      <c r="J98" s="188"/>
      <c r="K98" s="188"/>
      <c r="L98" s="188"/>
      <c r="M98" s="94"/>
      <c r="N98" s="94"/>
      <c r="O98" s="94"/>
      <c r="P98" s="94"/>
      <c r="Q98" s="95"/>
      <c r="R98" s="77"/>
      <c r="S98" s="77"/>
      <c r="T98" s="94"/>
      <c r="U98" s="96"/>
      <c r="V98" s="50"/>
      <c r="W98" s="11"/>
      <c r="X98" s="11"/>
      <c r="Y98" s="11"/>
      <c r="Z98" s="177" t="s">
        <v>35</v>
      </c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</row>
    <row r="99" spans="1:44" s="13" customFormat="1" ht="27" customHeight="1">
      <c r="A99" s="63">
        <v>76</v>
      </c>
      <c r="B99" s="64" t="s">
        <v>276</v>
      </c>
      <c r="C99" s="65"/>
      <c r="D99" s="93"/>
      <c r="E99" s="67"/>
      <c r="F99" s="67"/>
      <c r="G99" s="67"/>
      <c r="H99" s="65">
        <f>3.41-H103</f>
        <v>2.3890000000000002</v>
      </c>
      <c r="I99" s="57"/>
      <c r="J99" s="67">
        <f>K99+L99</f>
        <v>52684.312299999998</v>
      </c>
      <c r="K99" s="67">
        <v>49523.253559999997</v>
      </c>
      <c r="L99" s="67">
        <v>3161.0587399999999</v>
      </c>
      <c r="M99" s="94"/>
      <c r="N99" s="94"/>
      <c r="O99" s="94"/>
      <c r="P99" s="94"/>
      <c r="Q99" s="95"/>
      <c r="R99" s="77"/>
      <c r="S99" s="77"/>
      <c r="T99" s="94"/>
      <c r="U99" s="96"/>
      <c r="V99" s="50"/>
      <c r="W99" s="11"/>
      <c r="X99" s="11"/>
      <c r="Y99" s="11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</row>
    <row r="100" spans="1:44" s="13" customFormat="1" ht="41.25" customHeight="1">
      <c r="A100" s="63"/>
      <c r="B100" s="107" t="s">
        <v>277</v>
      </c>
      <c r="C100" s="65"/>
      <c r="D100" s="93"/>
      <c r="E100" s="67"/>
      <c r="F100" s="67"/>
      <c r="G100" s="67"/>
      <c r="H100" s="65"/>
      <c r="I100" s="57"/>
      <c r="J100" s="67"/>
      <c r="K100" s="67"/>
      <c r="L100" s="67"/>
      <c r="M100" s="94"/>
      <c r="N100" s="94"/>
      <c r="O100" s="94"/>
      <c r="P100" s="94"/>
      <c r="Q100" s="95"/>
      <c r="R100" s="77"/>
      <c r="S100" s="77"/>
      <c r="T100" s="94"/>
      <c r="U100" s="96"/>
      <c r="V100" s="50"/>
      <c r="W100" s="11"/>
      <c r="X100" s="11"/>
      <c r="Y100" s="185" t="s">
        <v>87</v>
      </c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</row>
    <row r="101" spans="1:44" s="13" customFormat="1" ht="39" customHeight="1">
      <c r="A101" s="63">
        <v>77</v>
      </c>
      <c r="B101" s="107" t="s">
        <v>203</v>
      </c>
      <c r="C101" s="65"/>
      <c r="D101" s="93"/>
      <c r="E101" s="67"/>
      <c r="F101" s="67"/>
      <c r="G101" s="67"/>
      <c r="H101" s="65">
        <v>0.85699999999999998</v>
      </c>
      <c r="I101" s="57"/>
      <c r="J101" s="67">
        <f t="shared" ref="J101:J103" si="23">K101+L101</f>
        <v>24550.175019999999</v>
      </c>
      <c r="K101" s="67">
        <v>23077.164519999998</v>
      </c>
      <c r="L101" s="67">
        <v>1473.0105000000001</v>
      </c>
      <c r="M101" s="94"/>
      <c r="N101" s="94"/>
      <c r="O101" s="94"/>
      <c r="P101" s="94"/>
      <c r="Q101" s="95"/>
      <c r="R101" s="77"/>
      <c r="S101" s="77"/>
      <c r="T101" s="94"/>
      <c r="U101" s="96"/>
      <c r="V101" s="50"/>
      <c r="W101" s="11"/>
      <c r="X101" s="11"/>
      <c r="Y101" s="11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</row>
    <row r="102" spans="1:44" s="13" customFormat="1" ht="40.5" customHeight="1">
      <c r="A102" s="63">
        <v>78</v>
      </c>
      <c r="B102" s="107" t="s">
        <v>204</v>
      </c>
      <c r="C102" s="65"/>
      <c r="D102" s="93"/>
      <c r="E102" s="67"/>
      <c r="F102" s="67"/>
      <c r="G102" s="67"/>
      <c r="H102" s="65">
        <v>4.266</v>
      </c>
      <c r="I102" s="57"/>
      <c r="J102" s="67">
        <f t="shared" si="23"/>
        <v>125836.09999999999</v>
      </c>
      <c r="K102" s="67">
        <v>118285.93399999999</v>
      </c>
      <c r="L102" s="67">
        <v>7550.1660000000002</v>
      </c>
      <c r="M102" s="94"/>
      <c r="N102" s="94"/>
      <c r="O102" s="94"/>
      <c r="P102" s="94"/>
      <c r="Q102" s="95"/>
      <c r="R102" s="77"/>
      <c r="S102" s="77"/>
      <c r="T102" s="94"/>
      <c r="U102" s="96"/>
      <c r="V102" s="50"/>
      <c r="W102" s="11"/>
      <c r="X102" s="11"/>
      <c r="Y102" s="11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</row>
    <row r="103" spans="1:44" s="13" customFormat="1" ht="41.25" customHeight="1">
      <c r="A103" s="63">
        <v>79</v>
      </c>
      <c r="B103" s="64" t="s">
        <v>205</v>
      </c>
      <c r="C103" s="65"/>
      <c r="D103" s="93"/>
      <c r="E103" s="67"/>
      <c r="F103" s="67"/>
      <c r="G103" s="67"/>
      <c r="H103" s="65">
        <v>1.0209999999999999</v>
      </c>
      <c r="I103" s="57"/>
      <c r="J103" s="67">
        <f t="shared" si="23"/>
        <v>19618.774379999999</v>
      </c>
      <c r="K103" s="67">
        <v>18441.647919999999</v>
      </c>
      <c r="L103" s="67">
        <v>1177.12646</v>
      </c>
      <c r="M103" s="94"/>
      <c r="N103" s="94"/>
      <c r="O103" s="94"/>
      <c r="P103" s="94"/>
      <c r="Q103" s="95"/>
      <c r="R103" s="77"/>
      <c r="S103" s="77"/>
      <c r="T103" s="94"/>
      <c r="U103" s="96"/>
      <c r="V103" s="50"/>
      <c r="W103" s="11"/>
      <c r="X103" s="11"/>
      <c r="Y103" s="11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</row>
    <row r="104" spans="1:44" s="13" customFormat="1" ht="27" hidden="1" customHeight="1">
      <c r="A104" s="63"/>
      <c r="B104" s="56" t="s">
        <v>61</v>
      </c>
      <c r="C104" s="84"/>
      <c r="D104" s="84"/>
      <c r="E104" s="84"/>
      <c r="F104" s="84"/>
      <c r="G104" s="84"/>
      <c r="H104" s="85"/>
      <c r="I104" s="85"/>
      <c r="J104" s="85"/>
      <c r="K104" s="85"/>
      <c r="L104" s="85"/>
      <c r="M104" s="85"/>
      <c r="N104" s="85"/>
      <c r="O104" s="85"/>
      <c r="P104" s="85"/>
      <c r="Q104" s="100"/>
      <c r="R104" s="77"/>
      <c r="S104" s="77"/>
      <c r="T104" s="94"/>
      <c r="U104" s="96"/>
      <c r="V104" s="50"/>
      <c r="W104" s="11"/>
      <c r="X104" s="11"/>
      <c r="Y104" s="11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</row>
    <row r="105" spans="1:44" s="13" customFormat="1" ht="24.75" hidden="1" customHeight="1">
      <c r="A105" s="63"/>
      <c r="B105" s="64"/>
      <c r="C105" s="69"/>
      <c r="D105" s="69"/>
      <c r="E105" s="69"/>
      <c r="F105" s="69"/>
      <c r="G105" s="69"/>
      <c r="H105" s="70"/>
      <c r="I105" s="69"/>
      <c r="J105" s="69"/>
      <c r="K105" s="69"/>
      <c r="L105" s="69"/>
      <c r="M105" s="69"/>
      <c r="N105" s="69"/>
      <c r="O105" s="69"/>
      <c r="P105" s="69"/>
      <c r="Q105" s="73"/>
      <c r="R105" s="101"/>
      <c r="S105" s="101"/>
      <c r="T105" s="75"/>
      <c r="U105" s="102"/>
      <c r="V105" s="50"/>
      <c r="W105" s="11"/>
      <c r="X105" s="11"/>
      <c r="Y105" s="11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</row>
    <row r="106" spans="1:44" s="13" customFormat="1" ht="27" customHeight="1">
      <c r="A106" s="63"/>
      <c r="B106" s="56" t="s">
        <v>62</v>
      </c>
      <c r="C106" s="57">
        <f>SUM(C108:C117)</f>
        <v>6.5810000000000013</v>
      </c>
      <c r="D106" s="54"/>
      <c r="E106" s="57">
        <f>SUM(E108:E117)</f>
        <v>75358.5</v>
      </c>
      <c r="F106" s="57">
        <f>SUM(F108:F117)</f>
        <v>71590.600000000006</v>
      </c>
      <c r="G106" s="57">
        <f>SUM(G108:G117)</f>
        <v>3767.9000000000051</v>
      </c>
      <c r="H106" s="85">
        <f>H119</f>
        <v>1.85</v>
      </c>
      <c r="I106" s="57"/>
      <c r="J106" s="57">
        <f>J119</f>
        <v>169668</v>
      </c>
      <c r="K106" s="57">
        <f>K119</f>
        <v>161184.6</v>
      </c>
      <c r="L106" s="57">
        <f>L119</f>
        <v>8483.3999999999942</v>
      </c>
      <c r="M106" s="57">
        <f>M119</f>
        <v>1.4500000000000002</v>
      </c>
      <c r="N106" s="57"/>
      <c r="O106" s="57">
        <f>O119</f>
        <v>169668</v>
      </c>
      <c r="P106" s="57">
        <f>P119</f>
        <v>161184.6</v>
      </c>
      <c r="Q106" s="59">
        <f>Q119</f>
        <v>8483.3999999999942</v>
      </c>
      <c r="R106" s="60">
        <f>R108</f>
        <v>3.62</v>
      </c>
      <c r="S106" s="57"/>
      <c r="T106" s="57">
        <f>T108</f>
        <v>46144</v>
      </c>
      <c r="U106" s="57">
        <f>U108</f>
        <v>43837</v>
      </c>
      <c r="V106" s="59">
        <f>V108</f>
        <v>2307</v>
      </c>
      <c r="W106" s="11"/>
      <c r="X106" s="11"/>
      <c r="Y106" s="11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</row>
    <row r="107" spans="1:44" s="13" customFormat="1" ht="29.25" customHeight="1">
      <c r="A107" s="63"/>
      <c r="B107" s="64" t="s">
        <v>53</v>
      </c>
      <c r="C107" s="57"/>
      <c r="D107" s="54"/>
      <c r="E107" s="75"/>
      <c r="F107" s="103"/>
      <c r="G107" s="57"/>
      <c r="H107" s="85"/>
      <c r="I107" s="57"/>
      <c r="J107" s="57"/>
      <c r="K107" s="57"/>
      <c r="L107" s="57"/>
      <c r="M107" s="57"/>
      <c r="N107" s="57"/>
      <c r="O107" s="57"/>
      <c r="P107" s="57"/>
      <c r="Q107" s="59"/>
      <c r="R107" s="60"/>
      <c r="S107" s="60"/>
      <c r="T107" s="57"/>
      <c r="U107" s="58"/>
      <c r="V107" s="59"/>
      <c r="W107" s="11"/>
      <c r="X107" s="11"/>
      <c r="Y107" s="11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</row>
    <row r="108" spans="1:44" s="13" customFormat="1" ht="26.1" customHeight="1">
      <c r="A108" s="63">
        <v>80</v>
      </c>
      <c r="B108" s="64" t="s">
        <v>63</v>
      </c>
      <c r="C108" s="65">
        <v>1.83</v>
      </c>
      <c r="D108" s="69"/>
      <c r="E108" s="67">
        <v>30133</v>
      </c>
      <c r="F108" s="104">
        <f t="shared" ref="F108:F116" si="24">E108*0.95</f>
        <v>28626.35</v>
      </c>
      <c r="G108" s="104">
        <f t="shared" ref="G108:G117" si="25">E108-F108</f>
        <v>1506.6500000000015</v>
      </c>
      <c r="H108" s="70"/>
      <c r="I108" s="69"/>
      <c r="J108" s="69"/>
      <c r="K108" s="69"/>
      <c r="L108" s="69"/>
      <c r="M108" s="69"/>
      <c r="N108" s="69"/>
      <c r="O108" s="69"/>
      <c r="P108" s="69"/>
      <c r="Q108" s="73"/>
      <c r="R108" s="72">
        <v>3.62</v>
      </c>
      <c r="S108" s="72"/>
      <c r="T108" s="67">
        <v>46144</v>
      </c>
      <c r="U108" s="68">
        <v>43837</v>
      </c>
      <c r="V108" s="71">
        <f>T108-U108</f>
        <v>2307</v>
      </c>
      <c r="W108" s="11"/>
      <c r="X108" s="11"/>
      <c r="Y108" s="11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</row>
    <row r="109" spans="1:44" s="13" customFormat="1" ht="26.1" customHeight="1">
      <c r="A109" s="63">
        <v>81</v>
      </c>
      <c r="B109" s="64" t="s">
        <v>64</v>
      </c>
      <c r="C109" s="65">
        <v>1.79</v>
      </c>
      <c r="D109" s="69"/>
      <c r="E109" s="67">
        <v>16011</v>
      </c>
      <c r="F109" s="104">
        <f t="shared" si="24"/>
        <v>15210.449999999999</v>
      </c>
      <c r="G109" s="104">
        <f t="shared" si="25"/>
        <v>800.55000000000109</v>
      </c>
      <c r="H109" s="70"/>
      <c r="I109" s="69"/>
      <c r="J109" s="69"/>
      <c r="K109" s="69"/>
      <c r="L109" s="69"/>
      <c r="M109" s="69"/>
      <c r="N109" s="69"/>
      <c r="O109" s="69"/>
      <c r="P109" s="69"/>
      <c r="Q109" s="73"/>
      <c r="R109" s="72"/>
      <c r="S109" s="72"/>
      <c r="T109" s="67"/>
      <c r="U109" s="68"/>
      <c r="V109" s="71"/>
      <c r="W109" s="11"/>
      <c r="X109" s="11"/>
      <c r="Y109" s="11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</row>
    <row r="110" spans="1:44" s="13" customFormat="1" ht="26.1" customHeight="1">
      <c r="A110" s="63">
        <v>82</v>
      </c>
      <c r="B110" s="64" t="s">
        <v>65</v>
      </c>
      <c r="C110" s="65">
        <v>0.6</v>
      </c>
      <c r="D110" s="69"/>
      <c r="E110" s="67">
        <v>5485.2449999999999</v>
      </c>
      <c r="F110" s="104">
        <f t="shared" si="24"/>
        <v>5210.9827499999992</v>
      </c>
      <c r="G110" s="104">
        <f t="shared" si="25"/>
        <v>274.26225000000068</v>
      </c>
      <c r="H110" s="105"/>
      <c r="I110" s="105"/>
      <c r="J110" s="105"/>
      <c r="K110" s="105"/>
      <c r="L110" s="105"/>
      <c r="M110" s="105"/>
      <c r="N110" s="69"/>
      <c r="O110" s="69"/>
      <c r="P110" s="69"/>
      <c r="Q110" s="73"/>
      <c r="R110" s="72"/>
      <c r="S110" s="72"/>
      <c r="T110" s="67"/>
      <c r="U110" s="68"/>
      <c r="V110" s="71"/>
      <c r="W110" s="11"/>
      <c r="X110" s="11"/>
      <c r="Y110" s="11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</row>
    <row r="111" spans="1:44" s="13" customFormat="1" ht="26.1" customHeight="1">
      <c r="A111" s="63">
        <v>83</v>
      </c>
      <c r="B111" s="64" t="s">
        <v>66</v>
      </c>
      <c r="C111" s="65">
        <v>0.2</v>
      </c>
      <c r="D111" s="69"/>
      <c r="E111" s="67">
        <v>1828.415</v>
      </c>
      <c r="F111" s="104">
        <f t="shared" si="24"/>
        <v>1736.99425</v>
      </c>
      <c r="G111" s="104">
        <f t="shared" si="25"/>
        <v>91.420749999999998</v>
      </c>
      <c r="H111" s="105"/>
      <c r="I111" s="105"/>
      <c r="J111" s="105"/>
      <c r="K111" s="105"/>
      <c r="L111" s="105"/>
      <c r="M111" s="105"/>
      <c r="N111" s="69"/>
      <c r="O111" s="69"/>
      <c r="P111" s="69"/>
      <c r="Q111" s="73"/>
      <c r="R111" s="72"/>
      <c r="S111" s="72"/>
      <c r="T111" s="67"/>
      <c r="U111" s="68"/>
      <c r="V111" s="71"/>
      <c r="W111" s="11"/>
      <c r="X111" s="11"/>
      <c r="Y111" s="11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</row>
    <row r="112" spans="1:44" s="13" customFormat="1" ht="26.1" customHeight="1">
      <c r="A112" s="63">
        <v>84</v>
      </c>
      <c r="B112" s="64" t="s">
        <v>67</v>
      </c>
      <c r="C112" s="65">
        <v>0.15</v>
      </c>
      <c r="D112" s="69"/>
      <c r="E112" s="67">
        <v>1371.3050000000001</v>
      </c>
      <c r="F112" s="104">
        <f t="shared" si="24"/>
        <v>1302.73975</v>
      </c>
      <c r="G112" s="104">
        <f t="shared" si="25"/>
        <v>68.565250000000106</v>
      </c>
      <c r="H112" s="105"/>
      <c r="I112" s="105"/>
      <c r="J112" s="105"/>
      <c r="K112" s="105"/>
      <c r="L112" s="105"/>
      <c r="M112" s="105"/>
      <c r="N112" s="69"/>
      <c r="O112" s="69"/>
      <c r="P112" s="69"/>
      <c r="Q112" s="73"/>
      <c r="R112" s="72"/>
      <c r="S112" s="72"/>
      <c r="T112" s="67"/>
      <c r="U112" s="68"/>
      <c r="V112" s="71"/>
      <c r="W112" s="11"/>
      <c r="X112" s="11"/>
      <c r="Y112" s="11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</row>
    <row r="113" spans="1:44" s="13" customFormat="1" ht="26.1" customHeight="1">
      <c r="A113" s="63">
        <v>85</v>
      </c>
      <c r="B113" s="64" t="s">
        <v>68</v>
      </c>
      <c r="C113" s="65">
        <v>0.4</v>
      </c>
      <c r="D113" s="69"/>
      <c r="E113" s="67">
        <v>3656.8249999999998</v>
      </c>
      <c r="F113" s="104">
        <f t="shared" si="24"/>
        <v>3473.9837499999999</v>
      </c>
      <c r="G113" s="104">
        <f t="shared" si="25"/>
        <v>182.84124999999995</v>
      </c>
      <c r="H113" s="105"/>
      <c r="I113" s="105"/>
      <c r="J113" s="105"/>
      <c r="K113" s="105"/>
      <c r="L113" s="105"/>
      <c r="M113" s="105"/>
      <c r="N113" s="69"/>
      <c r="O113" s="69"/>
      <c r="P113" s="69"/>
      <c r="Q113" s="73"/>
      <c r="R113" s="72"/>
      <c r="S113" s="72"/>
      <c r="T113" s="67"/>
      <c r="U113" s="68"/>
      <c r="V113" s="71"/>
      <c r="W113" s="11"/>
      <c r="X113" s="11"/>
      <c r="Y113" s="11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</row>
    <row r="114" spans="1:44" s="13" customFormat="1" ht="26.1" customHeight="1">
      <c r="A114" s="63">
        <v>86</v>
      </c>
      <c r="B114" s="64" t="s">
        <v>69</v>
      </c>
      <c r="C114" s="65">
        <v>0.2</v>
      </c>
      <c r="D114" s="69"/>
      <c r="E114" s="67">
        <v>1828.415</v>
      </c>
      <c r="F114" s="104">
        <f t="shared" si="24"/>
        <v>1736.99425</v>
      </c>
      <c r="G114" s="104">
        <f t="shared" si="25"/>
        <v>91.420749999999998</v>
      </c>
      <c r="H114" s="105"/>
      <c r="I114" s="105"/>
      <c r="J114" s="105"/>
      <c r="K114" s="105"/>
      <c r="L114" s="105"/>
      <c r="M114" s="105"/>
      <c r="N114" s="69"/>
      <c r="O114" s="69"/>
      <c r="P114" s="69"/>
      <c r="Q114" s="73"/>
      <c r="R114" s="72"/>
      <c r="S114" s="72"/>
      <c r="T114" s="67"/>
      <c r="U114" s="68"/>
      <c r="V114" s="71"/>
      <c r="W114" s="11"/>
      <c r="X114" s="11"/>
      <c r="Y114" s="11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</row>
    <row r="115" spans="1:44" s="13" customFormat="1" ht="26.1" customHeight="1">
      <c r="A115" s="63">
        <v>87</v>
      </c>
      <c r="B115" s="64" t="s">
        <v>70</v>
      </c>
      <c r="C115" s="65">
        <v>0.2</v>
      </c>
      <c r="D115" s="69"/>
      <c r="E115" s="67">
        <v>1828.415</v>
      </c>
      <c r="F115" s="104">
        <f t="shared" si="24"/>
        <v>1736.99425</v>
      </c>
      <c r="G115" s="104">
        <f t="shared" si="25"/>
        <v>91.420749999999998</v>
      </c>
      <c r="H115" s="105"/>
      <c r="I115" s="105"/>
      <c r="J115" s="105"/>
      <c r="K115" s="105"/>
      <c r="L115" s="105"/>
      <c r="M115" s="105"/>
      <c r="N115" s="69"/>
      <c r="O115" s="69"/>
      <c r="P115" s="69"/>
      <c r="Q115" s="73"/>
      <c r="R115" s="72"/>
      <c r="S115" s="72"/>
      <c r="T115" s="67"/>
      <c r="U115" s="68"/>
      <c r="V115" s="71"/>
      <c r="W115" s="11"/>
      <c r="X115" s="11"/>
      <c r="Y115" s="11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</row>
    <row r="116" spans="1:44" s="13" customFormat="1" ht="26.1" customHeight="1">
      <c r="A116" s="63">
        <v>88</v>
      </c>
      <c r="B116" s="64" t="s">
        <v>71</v>
      </c>
      <c r="C116" s="65">
        <v>0.67600000000000005</v>
      </c>
      <c r="D116" s="69"/>
      <c r="E116" s="67">
        <v>7625.2849999999999</v>
      </c>
      <c r="F116" s="104">
        <f t="shared" si="24"/>
        <v>7244.0207499999997</v>
      </c>
      <c r="G116" s="104">
        <f t="shared" si="25"/>
        <v>381.26425000000017</v>
      </c>
      <c r="H116" s="105"/>
      <c r="I116" s="105"/>
      <c r="J116" s="105"/>
      <c r="K116" s="105"/>
      <c r="L116" s="105"/>
      <c r="M116" s="105"/>
      <c r="N116" s="69"/>
      <c r="O116" s="69"/>
      <c r="P116" s="69"/>
      <c r="Q116" s="73"/>
      <c r="R116" s="72"/>
      <c r="S116" s="72"/>
      <c r="T116" s="67"/>
      <c r="U116" s="68"/>
      <c r="V116" s="71"/>
      <c r="W116" s="11"/>
      <c r="X116" s="11"/>
      <c r="Y116" s="11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</row>
    <row r="117" spans="1:44" s="13" customFormat="1" ht="26.1" customHeight="1">
      <c r="A117" s="63">
        <v>89</v>
      </c>
      <c r="B117" s="64" t="s">
        <v>72</v>
      </c>
      <c r="C117" s="65">
        <v>0.53500000000000003</v>
      </c>
      <c r="D117" s="69"/>
      <c r="E117" s="67">
        <f>5590.54+0.055</f>
        <v>5590.5950000000003</v>
      </c>
      <c r="F117" s="104">
        <f>E117*0.95+0.025</f>
        <v>5311.0902499999993</v>
      </c>
      <c r="G117" s="104">
        <f t="shared" si="25"/>
        <v>279.50475000000097</v>
      </c>
      <c r="H117" s="106"/>
      <c r="I117" s="106"/>
      <c r="J117" s="106"/>
      <c r="K117" s="106"/>
      <c r="L117" s="106"/>
      <c r="M117" s="106"/>
      <c r="N117" s="69"/>
      <c r="O117" s="69"/>
      <c r="P117" s="69"/>
      <c r="Q117" s="73"/>
      <c r="R117" s="72"/>
      <c r="S117" s="72"/>
      <c r="T117" s="67"/>
      <c r="U117" s="68"/>
      <c r="V117" s="71"/>
      <c r="W117" s="11"/>
      <c r="X117" s="11"/>
      <c r="Y117" s="11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</row>
    <row r="118" spans="1:44" s="13" customFormat="1" ht="44.25" customHeight="1">
      <c r="A118" s="63"/>
      <c r="B118" s="107" t="s">
        <v>273</v>
      </c>
      <c r="C118" s="65"/>
      <c r="D118" s="69"/>
      <c r="E118" s="67"/>
      <c r="F118" s="104"/>
      <c r="G118" s="104"/>
      <c r="H118" s="106"/>
      <c r="I118" s="106"/>
      <c r="J118" s="106"/>
      <c r="K118" s="106"/>
      <c r="L118" s="106"/>
      <c r="M118" s="106"/>
      <c r="N118" s="69"/>
      <c r="O118" s="69"/>
      <c r="P118" s="69"/>
      <c r="Q118" s="73"/>
      <c r="R118" s="72"/>
      <c r="S118" s="72"/>
      <c r="T118" s="67"/>
      <c r="U118" s="68"/>
      <c r="V118" s="71"/>
      <c r="W118" s="11"/>
      <c r="X118" s="11"/>
      <c r="Y118" s="11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</row>
    <row r="119" spans="1:44" s="13" customFormat="1" ht="42" customHeight="1">
      <c r="A119" s="63">
        <v>90</v>
      </c>
      <c r="B119" s="64" t="s">
        <v>73</v>
      </c>
      <c r="C119" s="65"/>
      <c r="D119" s="69"/>
      <c r="E119" s="67"/>
      <c r="F119" s="104"/>
      <c r="G119" s="104"/>
      <c r="H119" s="65">
        <v>1.85</v>
      </c>
      <c r="I119" s="57"/>
      <c r="J119" s="67">
        <f>339336/2</f>
        <v>169668</v>
      </c>
      <c r="K119" s="67">
        <f>161184.6</f>
        <v>161184.6</v>
      </c>
      <c r="L119" s="67">
        <f>J119-K119</f>
        <v>8483.3999999999942</v>
      </c>
      <c r="M119" s="65">
        <f>1.11+0.34</f>
        <v>1.4500000000000002</v>
      </c>
      <c r="N119" s="57"/>
      <c r="O119" s="67">
        <v>169668</v>
      </c>
      <c r="P119" s="67">
        <f>161184.6</f>
        <v>161184.6</v>
      </c>
      <c r="Q119" s="71">
        <f>O119-P119</f>
        <v>8483.3999999999942</v>
      </c>
      <c r="R119" s="72"/>
      <c r="S119" s="72"/>
      <c r="T119" s="67"/>
      <c r="U119" s="68"/>
      <c r="V119" s="71"/>
      <c r="W119" s="11"/>
      <c r="X119" s="11"/>
      <c r="Y119" s="11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</row>
    <row r="120" spans="1:44" s="13" customFormat="1" ht="28.5" customHeight="1">
      <c r="A120" s="63"/>
      <c r="B120" s="56" t="s">
        <v>74</v>
      </c>
      <c r="C120" s="57">
        <f>C121</f>
        <v>3.7169999999999996</v>
      </c>
      <c r="D120" s="54"/>
      <c r="E120" s="57">
        <f>E121</f>
        <v>40000</v>
      </c>
      <c r="F120" s="57">
        <f>F121</f>
        <v>37999.999999999993</v>
      </c>
      <c r="G120" s="57">
        <f>G121</f>
        <v>2000.0000000000025</v>
      </c>
      <c r="H120" s="57"/>
      <c r="I120" s="57"/>
      <c r="J120" s="57"/>
      <c r="K120" s="57"/>
      <c r="L120" s="57"/>
      <c r="M120" s="57">
        <f>M121</f>
        <v>7.2519999999999998</v>
      </c>
      <c r="N120" s="57"/>
      <c r="O120" s="57">
        <f>O121</f>
        <v>147368.4</v>
      </c>
      <c r="P120" s="57">
        <f>P121</f>
        <v>140000</v>
      </c>
      <c r="Q120" s="59">
        <f>Q121</f>
        <v>7368.3999999999942</v>
      </c>
      <c r="R120" s="108">
        <f>R121</f>
        <v>1.6</v>
      </c>
      <c r="S120" s="109"/>
      <c r="T120" s="57">
        <f>T121</f>
        <v>40000</v>
      </c>
      <c r="U120" s="57">
        <f>U121</f>
        <v>38000</v>
      </c>
      <c r="V120" s="59">
        <f>V121</f>
        <v>2000</v>
      </c>
      <c r="W120" s="110"/>
      <c r="X120" s="11"/>
      <c r="Y120" s="11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</row>
    <row r="121" spans="1:44" s="13" customFormat="1" ht="39" customHeight="1">
      <c r="A121" s="63"/>
      <c r="B121" s="64" t="s">
        <v>259</v>
      </c>
      <c r="C121" s="65">
        <f>SUM(C126:C130)</f>
        <v>3.7169999999999996</v>
      </c>
      <c r="D121" s="69"/>
      <c r="E121" s="67">
        <f>SUM(E126:E130)</f>
        <v>40000</v>
      </c>
      <c r="F121" s="67">
        <f>SUM(F126:F130)</f>
        <v>37999.999999999993</v>
      </c>
      <c r="G121" s="67">
        <f>SUM(G126:G130)</f>
        <v>2000.0000000000025</v>
      </c>
      <c r="H121" s="70"/>
      <c r="I121" s="69"/>
      <c r="J121" s="69"/>
      <c r="K121" s="69"/>
      <c r="L121" s="69"/>
      <c r="M121" s="65">
        <v>7.2519999999999998</v>
      </c>
      <c r="N121" s="69"/>
      <c r="O121" s="70">
        <v>147368.4</v>
      </c>
      <c r="P121" s="70">
        <v>140000</v>
      </c>
      <c r="Q121" s="129">
        <f>O121-P121</f>
        <v>7368.3999999999942</v>
      </c>
      <c r="R121" s="111">
        <v>1.6</v>
      </c>
      <c r="S121" s="112"/>
      <c r="T121" s="104">
        <v>40000</v>
      </c>
      <c r="U121" s="113">
        <f>T121*0.95</f>
        <v>38000</v>
      </c>
      <c r="V121" s="114">
        <f>T121-U121</f>
        <v>2000</v>
      </c>
      <c r="W121" s="175">
        <f>P121/O121*100</f>
        <v>95.000013571430515</v>
      </c>
      <c r="X121" s="11"/>
      <c r="Y121" s="11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</row>
    <row r="122" spans="1:44" s="13" customFormat="1" ht="27.75" hidden="1" customHeight="1">
      <c r="A122" s="63"/>
      <c r="B122" s="56" t="s">
        <v>75</v>
      </c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9"/>
      <c r="R122" s="60">
        <f>R123</f>
        <v>4.45</v>
      </c>
      <c r="S122" s="60"/>
      <c r="T122" s="57">
        <f>T123</f>
        <v>186480</v>
      </c>
      <c r="U122" s="58">
        <f>U123</f>
        <v>186480</v>
      </c>
      <c r="V122" s="50"/>
      <c r="W122" s="11" t="s">
        <v>35</v>
      </c>
      <c r="X122" s="11"/>
      <c r="Y122" s="11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</row>
    <row r="123" spans="1:44" s="13" customFormat="1" ht="27.75" hidden="1" customHeight="1">
      <c r="A123" s="63"/>
      <c r="B123" s="115"/>
      <c r="C123" s="93"/>
      <c r="D123" s="93"/>
      <c r="E123" s="116"/>
      <c r="F123" s="116"/>
      <c r="G123" s="116"/>
      <c r="H123" s="109"/>
      <c r="I123" s="57"/>
      <c r="J123" s="57"/>
      <c r="K123" s="57"/>
      <c r="L123" s="94"/>
      <c r="M123" s="109"/>
      <c r="N123" s="109"/>
      <c r="O123" s="54"/>
      <c r="P123" s="54"/>
      <c r="Q123" s="117"/>
      <c r="R123" s="118">
        <v>4.45</v>
      </c>
      <c r="S123" s="108"/>
      <c r="T123" s="57">
        <v>186480</v>
      </c>
      <c r="U123" s="58">
        <f>T123</f>
        <v>186480</v>
      </c>
      <c r="V123" s="50"/>
      <c r="W123" s="11"/>
      <c r="X123" s="11"/>
      <c r="Y123" s="11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</row>
    <row r="124" spans="1:44" s="13" customFormat="1" ht="27" hidden="1" customHeight="1">
      <c r="A124" s="63"/>
      <c r="B124" s="64" t="s">
        <v>76</v>
      </c>
      <c r="C124" s="65"/>
      <c r="D124" s="93"/>
      <c r="E124" s="67"/>
      <c r="F124" s="104"/>
      <c r="G124" s="104"/>
      <c r="H124" s="109"/>
      <c r="I124" s="57"/>
      <c r="J124" s="57"/>
      <c r="K124" s="57"/>
      <c r="L124" s="94"/>
      <c r="M124" s="109"/>
      <c r="N124" s="109"/>
      <c r="O124" s="54"/>
      <c r="P124" s="54"/>
      <c r="Q124" s="117"/>
      <c r="R124" s="118"/>
      <c r="S124" s="108"/>
      <c r="T124" s="57"/>
      <c r="U124" s="58"/>
      <c r="V124" s="50"/>
      <c r="W124" s="11"/>
      <c r="X124" s="11"/>
      <c r="Y124" s="11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</row>
    <row r="125" spans="1:44" s="13" customFormat="1" ht="26.25" hidden="1" customHeight="1">
      <c r="A125" s="63"/>
      <c r="B125" s="64" t="s">
        <v>77</v>
      </c>
      <c r="C125" s="65"/>
      <c r="D125" s="93"/>
      <c r="E125" s="67"/>
      <c r="F125" s="104"/>
      <c r="G125" s="104"/>
      <c r="H125" s="109"/>
      <c r="I125" s="57"/>
      <c r="J125" s="57"/>
      <c r="K125" s="57"/>
      <c r="L125" s="94"/>
      <c r="M125" s="109"/>
      <c r="N125" s="109"/>
      <c r="O125" s="54"/>
      <c r="P125" s="54"/>
      <c r="Q125" s="117"/>
      <c r="R125" s="118"/>
      <c r="S125" s="108"/>
      <c r="T125" s="57"/>
      <c r="U125" s="58"/>
      <c r="V125" s="50"/>
      <c r="W125" s="11"/>
      <c r="X125" s="11"/>
      <c r="Y125" s="11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</row>
    <row r="126" spans="1:44" s="13" customFormat="1" ht="23.25" customHeight="1">
      <c r="A126" s="63">
        <v>91</v>
      </c>
      <c r="B126" s="64" t="s">
        <v>78</v>
      </c>
      <c r="C126" s="65">
        <v>0.24</v>
      </c>
      <c r="D126" s="93"/>
      <c r="E126" s="67">
        <v>2261.2043199999998</v>
      </c>
      <c r="F126" s="104">
        <f>E126*0.95</f>
        <v>2148.1441039999995</v>
      </c>
      <c r="G126" s="104">
        <f>E126-F126</f>
        <v>113.06021600000031</v>
      </c>
      <c r="H126" s="109"/>
      <c r="I126" s="57"/>
      <c r="J126" s="57"/>
      <c r="K126" s="57"/>
      <c r="L126" s="94"/>
      <c r="M126" s="109"/>
      <c r="N126" s="109"/>
      <c r="O126" s="54"/>
      <c r="P126" s="54"/>
      <c r="Q126" s="117"/>
      <c r="R126" s="118"/>
      <c r="S126" s="108"/>
      <c r="T126" s="57"/>
      <c r="U126" s="58"/>
      <c r="V126" s="50"/>
      <c r="W126" s="11"/>
      <c r="X126" s="11"/>
      <c r="Y126" s="11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</row>
    <row r="127" spans="1:44" s="13" customFormat="1" ht="24.75" customHeight="1">
      <c r="A127" s="63">
        <v>92</v>
      </c>
      <c r="B127" s="64" t="s">
        <v>79</v>
      </c>
      <c r="C127" s="65">
        <v>0.85299999999999998</v>
      </c>
      <c r="D127" s="93"/>
      <c r="E127" s="67">
        <v>12646.56243</v>
      </c>
      <c r="F127" s="104">
        <f>E127*0.95</f>
        <v>12014.234308499999</v>
      </c>
      <c r="G127" s="104">
        <f>E127-F127</f>
        <v>632.32812150000063</v>
      </c>
      <c r="H127" s="109"/>
      <c r="I127" s="57"/>
      <c r="J127" s="57"/>
      <c r="K127" s="57"/>
      <c r="L127" s="94"/>
      <c r="M127" s="109"/>
      <c r="N127" s="109"/>
      <c r="O127" s="54"/>
      <c r="P127" s="54"/>
      <c r="Q127" s="117"/>
      <c r="R127" s="118"/>
      <c r="S127" s="108"/>
      <c r="T127" s="57"/>
      <c r="U127" s="58"/>
      <c r="V127" s="50"/>
      <c r="W127" s="11"/>
      <c r="X127" s="11"/>
      <c r="Y127" s="11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</row>
    <row r="128" spans="1:44" s="13" customFormat="1" ht="27" customHeight="1">
      <c r="A128" s="63">
        <v>93</v>
      </c>
      <c r="B128" s="64" t="s">
        <v>80</v>
      </c>
      <c r="C128" s="65">
        <v>0.65400000000000003</v>
      </c>
      <c r="D128" s="93"/>
      <c r="E128" s="67">
        <v>7082.3833800000002</v>
      </c>
      <c r="F128" s="104">
        <f>E128*0.95</f>
        <v>6728.2642109999997</v>
      </c>
      <c r="G128" s="119">
        <f>E128-F128</f>
        <v>354.11916900000051</v>
      </c>
      <c r="H128" s="109"/>
      <c r="I128" s="57"/>
      <c r="J128" s="57"/>
      <c r="K128" s="57"/>
      <c r="L128" s="94"/>
      <c r="M128" s="109"/>
      <c r="N128" s="109"/>
      <c r="O128" s="54"/>
      <c r="P128" s="54"/>
      <c r="Q128" s="117"/>
      <c r="R128" s="118"/>
      <c r="S128" s="108"/>
      <c r="T128" s="57"/>
      <c r="U128" s="58"/>
      <c r="V128" s="50"/>
      <c r="W128" s="11"/>
      <c r="X128" s="11"/>
      <c r="Y128" s="11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</row>
    <row r="129" spans="1:44" s="13" customFormat="1" ht="23.25" customHeight="1">
      <c r="A129" s="63">
        <v>94</v>
      </c>
      <c r="B129" s="64" t="s">
        <v>81</v>
      </c>
      <c r="C129" s="65">
        <v>0.15</v>
      </c>
      <c r="D129" s="93"/>
      <c r="E129" s="67">
        <v>1631.4956</v>
      </c>
      <c r="F129" s="104">
        <f>E129*0.95</f>
        <v>1549.9208199999998</v>
      </c>
      <c r="G129" s="104">
        <f>E129-F129</f>
        <v>81.574780000000146</v>
      </c>
      <c r="H129" s="109"/>
      <c r="I129" s="57"/>
      <c r="J129" s="57"/>
      <c r="K129" s="57"/>
      <c r="L129" s="94"/>
      <c r="M129" s="109"/>
      <c r="N129" s="109"/>
      <c r="O129" s="54"/>
      <c r="P129" s="54"/>
      <c r="Q129" s="117"/>
      <c r="R129" s="118"/>
      <c r="S129" s="108"/>
      <c r="T129" s="57"/>
      <c r="U129" s="58"/>
      <c r="V129" s="50"/>
      <c r="W129" s="11"/>
      <c r="X129" s="11"/>
      <c r="Y129" s="11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</row>
    <row r="130" spans="1:44" s="13" customFormat="1" ht="27" customHeight="1">
      <c r="A130" s="63">
        <v>95</v>
      </c>
      <c r="B130" s="64" t="s">
        <v>82</v>
      </c>
      <c r="C130" s="65">
        <v>1.82</v>
      </c>
      <c r="D130" s="93"/>
      <c r="E130" s="67">
        <v>16378.35427</v>
      </c>
      <c r="F130" s="104">
        <f>E130*0.95</f>
        <v>15559.436556499999</v>
      </c>
      <c r="G130" s="104">
        <f>E130-F130</f>
        <v>818.9177135000009</v>
      </c>
      <c r="H130" s="109"/>
      <c r="I130" s="57"/>
      <c r="J130" s="57"/>
      <c r="K130" s="57"/>
      <c r="L130" s="94"/>
      <c r="M130" s="109"/>
      <c r="N130" s="109"/>
      <c r="O130" s="54"/>
      <c r="P130" s="54"/>
      <c r="Q130" s="117"/>
      <c r="R130" s="118"/>
      <c r="S130" s="108"/>
      <c r="T130" s="57"/>
      <c r="U130" s="58"/>
      <c r="V130" s="50"/>
      <c r="W130" s="11"/>
      <c r="X130" s="11"/>
      <c r="Y130" s="11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</row>
    <row r="131" spans="1:44" s="14" customFormat="1" ht="24" customHeight="1">
      <c r="A131" s="120"/>
      <c r="B131" s="56" t="s">
        <v>83</v>
      </c>
      <c r="C131" s="57">
        <f>SUM(C132:C132)</f>
        <v>2.9460000000000002</v>
      </c>
      <c r="D131" s="84"/>
      <c r="E131" s="85">
        <f>SUM(E132)</f>
        <v>40000</v>
      </c>
      <c r="F131" s="85">
        <f>SUM(F132)</f>
        <v>38000</v>
      </c>
      <c r="G131" s="85">
        <f>SUM(G132)</f>
        <v>2000</v>
      </c>
      <c r="H131" s="85"/>
      <c r="I131" s="85"/>
      <c r="J131" s="85"/>
      <c r="K131" s="85"/>
      <c r="L131" s="85"/>
      <c r="M131" s="85">
        <f>M132</f>
        <v>6.577</v>
      </c>
      <c r="N131" s="85"/>
      <c r="O131" s="85">
        <f>O132</f>
        <v>75377.3</v>
      </c>
      <c r="P131" s="85">
        <f>P132</f>
        <v>71608.399999999994</v>
      </c>
      <c r="Q131" s="100">
        <f>Q132</f>
        <v>3768.9000000000087</v>
      </c>
      <c r="R131" s="60" t="e">
        <f>#REF!</f>
        <v>#REF!</v>
      </c>
      <c r="S131" s="57"/>
      <c r="T131" s="57" t="e">
        <f>#REF!</f>
        <v>#REF!</v>
      </c>
      <c r="U131" s="57" t="e">
        <f>#REF!</f>
        <v>#REF!</v>
      </c>
      <c r="V131" s="59" t="e">
        <f>#REF!</f>
        <v>#REF!</v>
      </c>
      <c r="W131" s="11"/>
      <c r="X131" s="11"/>
      <c r="Y131" s="11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</row>
    <row r="132" spans="1:44" s="13" customFormat="1" ht="29.25" customHeight="1">
      <c r="A132" s="63"/>
      <c r="B132" s="64" t="s">
        <v>53</v>
      </c>
      <c r="C132" s="65">
        <f>C133+C134</f>
        <v>2.9460000000000002</v>
      </c>
      <c r="D132" s="93"/>
      <c r="E132" s="70">
        <v>40000</v>
      </c>
      <c r="F132" s="70">
        <v>38000</v>
      </c>
      <c r="G132" s="70">
        <v>2000</v>
      </c>
      <c r="H132" s="121"/>
      <c r="I132" s="121"/>
      <c r="J132" s="121"/>
      <c r="K132" s="121"/>
      <c r="L132" s="121"/>
      <c r="M132" s="65">
        <v>6.577</v>
      </c>
      <c r="N132" s="69"/>
      <c r="O132" s="70">
        <v>75377.3</v>
      </c>
      <c r="P132" s="70">
        <v>71608.399999999994</v>
      </c>
      <c r="Q132" s="129">
        <f>O132-P132</f>
        <v>3768.9000000000087</v>
      </c>
      <c r="R132" s="123"/>
      <c r="S132" s="123"/>
      <c r="T132" s="121"/>
      <c r="U132" s="124"/>
      <c r="V132" s="50"/>
      <c r="W132" s="11"/>
      <c r="X132" s="11"/>
      <c r="Y132" s="11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</row>
    <row r="133" spans="1:44" s="13" customFormat="1" ht="36.75" customHeight="1">
      <c r="A133" s="63">
        <v>96</v>
      </c>
      <c r="B133" s="64" t="s">
        <v>281</v>
      </c>
      <c r="C133" s="65">
        <v>2.1480000000000001</v>
      </c>
      <c r="D133" s="93"/>
      <c r="E133" s="70">
        <v>25783.490890000001</v>
      </c>
      <c r="F133" s="70">
        <f>E133*0.95</f>
        <v>24494.316345499999</v>
      </c>
      <c r="G133" s="70">
        <f>E133-F133</f>
        <v>1289.1745445000015</v>
      </c>
      <c r="H133" s="121"/>
      <c r="I133" s="121"/>
      <c r="J133" s="121"/>
      <c r="K133" s="121"/>
      <c r="L133" s="121"/>
      <c r="M133" s="121"/>
      <c r="N133" s="121"/>
      <c r="O133" s="121"/>
      <c r="P133" s="121"/>
      <c r="Q133" s="122"/>
      <c r="R133" s="123"/>
      <c r="S133" s="123"/>
      <c r="T133" s="121"/>
      <c r="U133" s="124"/>
      <c r="V133" s="50"/>
      <c r="W133" s="11"/>
      <c r="X133" s="11"/>
      <c r="Y133" s="11"/>
      <c r="Z133" s="4" t="s">
        <v>84</v>
      </c>
      <c r="AA133" s="186" t="s">
        <v>87</v>
      </c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</row>
    <row r="134" spans="1:44" s="13" customFormat="1" ht="27" customHeight="1">
      <c r="A134" s="63">
        <v>97</v>
      </c>
      <c r="B134" s="64" t="s">
        <v>85</v>
      </c>
      <c r="C134" s="65">
        <v>0.79800000000000004</v>
      </c>
      <c r="D134" s="93"/>
      <c r="E134" s="70">
        <v>14216.509110000001</v>
      </c>
      <c r="F134" s="70">
        <f>E134*0.95</f>
        <v>13505.683654500001</v>
      </c>
      <c r="G134" s="70">
        <f>E134-F134</f>
        <v>710.82545550000032</v>
      </c>
      <c r="H134" s="121"/>
      <c r="I134" s="121"/>
      <c r="J134" s="121"/>
      <c r="K134" s="121"/>
      <c r="L134" s="121"/>
      <c r="M134" s="121"/>
      <c r="N134" s="121"/>
      <c r="O134" s="121"/>
      <c r="P134" s="121"/>
      <c r="Q134" s="122"/>
      <c r="R134" s="123"/>
      <c r="S134" s="123"/>
      <c r="T134" s="121"/>
      <c r="U134" s="124"/>
      <c r="V134" s="50"/>
      <c r="W134" s="11"/>
      <c r="X134" s="11"/>
      <c r="Y134" s="11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</row>
    <row r="135" spans="1:44" s="14" customFormat="1" ht="27" customHeight="1">
      <c r="A135" s="120"/>
      <c r="B135" s="56" t="s">
        <v>86</v>
      </c>
      <c r="C135" s="57">
        <f>SUM(C137:C139)</f>
        <v>2.5720000000000001</v>
      </c>
      <c r="D135" s="54"/>
      <c r="E135" s="57">
        <f>SUM(E137:E139)</f>
        <v>20382.600000000002</v>
      </c>
      <c r="F135" s="57">
        <f>SUM(F137:F139)</f>
        <v>19363.5</v>
      </c>
      <c r="G135" s="57">
        <f>SUM(G137:G139)</f>
        <v>1019.1000000000008</v>
      </c>
      <c r="H135" s="57">
        <f>H142</f>
        <v>1.087</v>
      </c>
      <c r="I135" s="57"/>
      <c r="J135" s="57">
        <f>J142</f>
        <v>9811.7000000000007</v>
      </c>
      <c r="K135" s="57">
        <f>K142</f>
        <v>9321.1</v>
      </c>
      <c r="L135" s="57">
        <f>L142</f>
        <v>490.60000000000036</v>
      </c>
      <c r="M135" s="57">
        <f>M140</f>
        <v>7.12</v>
      </c>
      <c r="N135" s="57"/>
      <c r="O135" s="57">
        <f>O140</f>
        <v>72857.3</v>
      </c>
      <c r="P135" s="57">
        <f>P140</f>
        <v>69214.399999999994</v>
      </c>
      <c r="Q135" s="59">
        <f>Q140</f>
        <v>3642.9000000000087</v>
      </c>
      <c r="R135" s="60" t="e">
        <f>#REF!+#REF!</f>
        <v>#REF!</v>
      </c>
      <c r="S135" s="60"/>
      <c r="T135" s="57" t="e">
        <f>#REF!+#REF!</f>
        <v>#REF!</v>
      </c>
      <c r="U135" s="58" t="e">
        <f>#REF!+#REF!</f>
        <v>#REF!</v>
      </c>
      <c r="V135" s="59" t="e">
        <f>#REF!+#REF!</f>
        <v>#REF!</v>
      </c>
      <c r="W135" s="11"/>
      <c r="X135" s="11"/>
      <c r="Y135" s="11"/>
      <c r="Z135" s="4" t="s">
        <v>87</v>
      </c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</row>
    <row r="136" spans="1:44" s="14" customFormat="1" ht="26.25" customHeight="1">
      <c r="A136" s="120"/>
      <c r="B136" s="64" t="s">
        <v>53</v>
      </c>
      <c r="C136" s="57"/>
      <c r="D136" s="54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9"/>
      <c r="R136" s="60"/>
      <c r="S136" s="60"/>
      <c r="T136" s="57"/>
      <c r="U136" s="58"/>
      <c r="V136" s="59"/>
      <c r="W136" s="11"/>
      <c r="X136" s="11"/>
      <c r="Y136" s="11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</row>
    <row r="137" spans="1:44" s="14" customFormat="1" ht="24" customHeight="1">
      <c r="A137" s="63">
        <v>98</v>
      </c>
      <c r="B137" s="64" t="s">
        <v>88</v>
      </c>
      <c r="C137" s="65">
        <v>1.76</v>
      </c>
      <c r="D137" s="54"/>
      <c r="E137" s="70">
        <v>7523.3721500000001</v>
      </c>
      <c r="F137" s="70">
        <f>E137*0.95</f>
        <v>7147.2035424999995</v>
      </c>
      <c r="G137" s="70">
        <f>E137-F137</f>
        <v>376.16860750000069</v>
      </c>
      <c r="H137" s="57"/>
      <c r="I137" s="57"/>
      <c r="J137" s="57"/>
      <c r="K137" s="57"/>
      <c r="L137" s="57"/>
      <c r="M137" s="57"/>
      <c r="N137" s="57"/>
      <c r="O137" s="57"/>
      <c r="P137" s="57"/>
      <c r="Q137" s="59"/>
      <c r="R137" s="60"/>
      <c r="S137" s="60"/>
      <c r="T137" s="57"/>
      <c r="U137" s="58"/>
      <c r="V137" s="59"/>
      <c r="W137" s="11"/>
      <c r="X137" s="11"/>
      <c r="Y137" s="11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</row>
    <row r="138" spans="1:44" s="13" customFormat="1" ht="26.25" customHeight="1">
      <c r="A138" s="63">
        <v>99</v>
      </c>
      <c r="B138" s="64" t="s">
        <v>89</v>
      </c>
      <c r="C138" s="65">
        <v>0.59699999999999998</v>
      </c>
      <c r="D138" s="93"/>
      <c r="E138" s="70">
        <v>9970.74</v>
      </c>
      <c r="F138" s="70">
        <f>E138*0.95</f>
        <v>9472.2029999999995</v>
      </c>
      <c r="G138" s="70">
        <f>E138-F138</f>
        <v>498.53700000000026</v>
      </c>
      <c r="H138" s="94"/>
      <c r="I138" s="94"/>
      <c r="J138" s="94"/>
      <c r="K138" s="94"/>
      <c r="L138" s="94"/>
      <c r="M138" s="94"/>
      <c r="N138" s="94"/>
      <c r="O138" s="94"/>
      <c r="P138" s="94"/>
      <c r="Q138" s="95"/>
      <c r="R138" s="77"/>
      <c r="S138" s="77"/>
      <c r="T138" s="125"/>
      <c r="U138" s="126"/>
      <c r="V138" s="127"/>
      <c r="W138" s="11"/>
      <c r="X138" s="11"/>
      <c r="Y138" s="11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</row>
    <row r="139" spans="1:44" s="13" customFormat="1" ht="26.25" customHeight="1">
      <c r="A139" s="63">
        <v>100</v>
      </c>
      <c r="B139" s="64" t="s">
        <v>90</v>
      </c>
      <c r="C139" s="65">
        <v>0.215</v>
      </c>
      <c r="D139" s="93"/>
      <c r="E139" s="70">
        <v>2888.48785</v>
      </c>
      <c r="F139" s="70">
        <v>2744.0934575000001</v>
      </c>
      <c r="G139" s="70">
        <f>E139-F139</f>
        <v>144.39439249999987</v>
      </c>
      <c r="H139" s="94"/>
      <c r="I139" s="94"/>
      <c r="J139" s="94"/>
      <c r="K139" s="94"/>
      <c r="L139" s="94"/>
      <c r="M139" s="128"/>
      <c r="N139" s="128"/>
      <c r="O139" s="128"/>
      <c r="P139" s="94"/>
      <c r="Q139" s="95"/>
      <c r="R139" s="77"/>
      <c r="S139" s="77"/>
      <c r="T139" s="125"/>
      <c r="U139" s="126"/>
      <c r="V139" s="127"/>
      <c r="W139" s="11"/>
      <c r="X139" s="11"/>
      <c r="Y139" s="11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</row>
    <row r="140" spans="1:44" s="13" customFormat="1" ht="26.25" customHeight="1">
      <c r="A140" s="63">
        <v>101</v>
      </c>
      <c r="B140" s="64" t="s">
        <v>280</v>
      </c>
      <c r="C140" s="65"/>
      <c r="D140" s="93"/>
      <c r="E140" s="70"/>
      <c r="F140" s="70"/>
      <c r="G140" s="70"/>
      <c r="H140" s="94"/>
      <c r="I140" s="94"/>
      <c r="J140" s="94"/>
      <c r="K140" s="94"/>
      <c r="L140" s="94"/>
      <c r="M140" s="65">
        <v>7.12</v>
      </c>
      <c r="N140" s="93"/>
      <c r="O140" s="70">
        <v>72857.3</v>
      </c>
      <c r="P140" s="70">
        <f>O140*0.95-0.035</f>
        <v>69214.399999999994</v>
      </c>
      <c r="Q140" s="129">
        <f>O140-P140</f>
        <v>3642.9000000000087</v>
      </c>
      <c r="R140" s="77"/>
      <c r="S140" s="77"/>
      <c r="T140" s="125"/>
      <c r="U140" s="126"/>
      <c r="V140" s="127"/>
      <c r="W140" s="11"/>
      <c r="X140" s="11"/>
      <c r="Y140" s="11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</row>
    <row r="141" spans="1:44" s="13" customFormat="1" ht="40.5" customHeight="1">
      <c r="A141" s="63"/>
      <c r="B141" s="107" t="s">
        <v>273</v>
      </c>
      <c r="C141" s="65"/>
      <c r="D141" s="93"/>
      <c r="E141" s="70"/>
      <c r="F141" s="70"/>
      <c r="G141" s="70"/>
      <c r="H141" s="94"/>
      <c r="I141" s="94"/>
      <c r="J141" s="94"/>
      <c r="K141" s="94"/>
      <c r="L141" s="94"/>
      <c r="M141" s="94"/>
      <c r="N141" s="94"/>
      <c r="O141" s="94"/>
      <c r="P141" s="94"/>
      <c r="Q141" s="95"/>
      <c r="R141" s="77"/>
      <c r="S141" s="77"/>
      <c r="T141" s="125"/>
      <c r="U141" s="126"/>
      <c r="V141" s="127"/>
      <c r="W141" s="11"/>
      <c r="X141" s="11"/>
      <c r="Y141" s="11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</row>
    <row r="142" spans="1:44" s="13" customFormat="1" ht="41.25" customHeight="1">
      <c r="A142" s="63">
        <v>102</v>
      </c>
      <c r="B142" s="64" t="s">
        <v>91</v>
      </c>
      <c r="C142" s="65"/>
      <c r="D142" s="93"/>
      <c r="E142" s="70"/>
      <c r="F142" s="70"/>
      <c r="G142" s="70"/>
      <c r="H142" s="178">
        <v>1.087</v>
      </c>
      <c r="I142" s="57"/>
      <c r="J142" s="67">
        <v>9811.7000000000007</v>
      </c>
      <c r="K142" s="67">
        <v>9321.1</v>
      </c>
      <c r="L142" s="67">
        <f>J142-K142</f>
        <v>490.60000000000036</v>
      </c>
      <c r="M142" s="94"/>
      <c r="N142" s="94"/>
      <c r="O142" s="94"/>
      <c r="P142" s="94"/>
      <c r="Q142" s="95"/>
      <c r="R142" s="77"/>
      <c r="S142" s="77"/>
      <c r="T142" s="125"/>
      <c r="U142" s="126"/>
      <c r="V142" s="127"/>
      <c r="W142" s="11"/>
      <c r="X142" s="11"/>
      <c r="Y142" s="11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</row>
    <row r="143" spans="1:44" s="14" customFormat="1" ht="29.25" customHeight="1">
      <c r="A143" s="120"/>
      <c r="B143" s="56" t="s">
        <v>92</v>
      </c>
      <c r="C143" s="57">
        <f>C144</f>
        <v>4.0289999999999999</v>
      </c>
      <c r="D143" s="54"/>
      <c r="E143" s="57">
        <f>E144</f>
        <v>40000</v>
      </c>
      <c r="F143" s="57">
        <f>F144</f>
        <v>38000</v>
      </c>
      <c r="G143" s="57">
        <f>G144</f>
        <v>2000</v>
      </c>
      <c r="H143" s="130"/>
      <c r="I143" s="131"/>
      <c r="J143" s="131"/>
      <c r="K143" s="131"/>
      <c r="L143" s="131"/>
      <c r="M143" s="131">
        <f>SUM(M149:M152)</f>
        <v>7.298</v>
      </c>
      <c r="N143" s="131"/>
      <c r="O143" s="131">
        <f>SUM(O149:O152)</f>
        <v>91189.8</v>
      </c>
      <c r="P143" s="131">
        <f>SUM(P149:P152)</f>
        <v>86630.299999999988</v>
      </c>
      <c r="Q143" s="135">
        <f>SUM(Q149:Q152)</f>
        <v>4559.5000000000055</v>
      </c>
      <c r="R143" s="60" t="e">
        <f>#REF!</f>
        <v>#REF!</v>
      </c>
      <c r="S143" s="57"/>
      <c r="T143" s="57" t="e">
        <f>#REF!</f>
        <v>#REF!</v>
      </c>
      <c r="U143" s="57" t="e">
        <f>#REF!</f>
        <v>#REF!</v>
      </c>
      <c r="V143" s="59" t="e">
        <f>#REF!</f>
        <v>#REF!</v>
      </c>
      <c r="W143" s="132"/>
      <c r="X143" s="11" t="s">
        <v>35</v>
      </c>
      <c r="Y143" s="11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</row>
    <row r="144" spans="1:44" ht="30" customHeight="1">
      <c r="A144" s="63"/>
      <c r="B144" s="78" t="s">
        <v>53</v>
      </c>
      <c r="C144" s="65">
        <f>SUM(C145:C148)</f>
        <v>4.0289999999999999</v>
      </c>
      <c r="D144" s="93"/>
      <c r="E144" s="70">
        <v>40000</v>
      </c>
      <c r="F144" s="70">
        <v>38000</v>
      </c>
      <c r="G144" s="70">
        <v>2000</v>
      </c>
      <c r="H144" s="94"/>
      <c r="I144" s="94"/>
      <c r="J144" s="94"/>
      <c r="K144" s="94"/>
      <c r="L144" s="94"/>
      <c r="M144" s="94"/>
      <c r="N144" s="94"/>
      <c r="O144" s="94"/>
      <c r="P144" s="94"/>
      <c r="Q144" s="95"/>
      <c r="R144" s="133"/>
      <c r="S144" s="94"/>
      <c r="T144" s="94"/>
      <c r="U144" s="96"/>
      <c r="V144" s="50"/>
      <c r="W144" s="11"/>
      <c r="X144" s="11"/>
      <c r="Y144" s="11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</row>
    <row r="145" spans="1:42" ht="25.5" customHeight="1">
      <c r="A145" s="63">
        <v>103</v>
      </c>
      <c r="B145" s="78" t="s">
        <v>93</v>
      </c>
      <c r="C145" s="65">
        <v>0.53</v>
      </c>
      <c r="D145" s="93"/>
      <c r="E145" s="134">
        <v>4722.0600000000004</v>
      </c>
      <c r="F145" s="70">
        <f>E145*0.95</f>
        <v>4485.9570000000003</v>
      </c>
      <c r="G145" s="70">
        <f>E145-F145</f>
        <v>236.10300000000007</v>
      </c>
      <c r="H145" s="94"/>
      <c r="I145" s="94"/>
      <c r="J145" s="94"/>
      <c r="K145" s="94"/>
      <c r="L145" s="94"/>
      <c r="M145" s="94"/>
      <c r="N145" s="94"/>
      <c r="O145" s="94"/>
      <c r="P145" s="94"/>
      <c r="Q145" s="95"/>
      <c r="R145" s="133"/>
      <c r="S145" s="77"/>
      <c r="T145" s="94"/>
      <c r="U145" s="96"/>
      <c r="V145" s="50"/>
      <c r="W145" s="11"/>
      <c r="X145" s="11"/>
      <c r="Y145" s="11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</row>
    <row r="146" spans="1:42" ht="24" customHeight="1">
      <c r="A146" s="63">
        <v>104</v>
      </c>
      <c r="B146" s="78" t="s">
        <v>94</v>
      </c>
      <c r="C146" s="65">
        <v>1.085</v>
      </c>
      <c r="D146" s="93"/>
      <c r="E146" s="134">
        <v>12138.918</v>
      </c>
      <c r="F146" s="70">
        <f>E146*0.95</f>
        <v>11531.972099999999</v>
      </c>
      <c r="G146" s="70">
        <f>E146-F146</f>
        <v>606.94590000000062</v>
      </c>
      <c r="H146" s="94"/>
      <c r="I146" s="94"/>
      <c r="J146" s="94"/>
      <c r="K146" s="94"/>
      <c r="L146" s="94"/>
      <c r="M146" s="94"/>
      <c r="N146" s="94"/>
      <c r="O146" s="94"/>
      <c r="P146" s="94"/>
      <c r="Q146" s="95"/>
      <c r="R146" s="133"/>
      <c r="S146" s="77"/>
      <c r="T146" s="94"/>
      <c r="U146" s="96"/>
      <c r="V146" s="50"/>
      <c r="W146" s="11"/>
      <c r="X146" s="11"/>
      <c r="Y146" s="11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</row>
    <row r="147" spans="1:42" ht="24" customHeight="1">
      <c r="A147" s="63">
        <v>105</v>
      </c>
      <c r="B147" s="78" t="s">
        <v>95</v>
      </c>
      <c r="C147" s="65">
        <v>0.95399999999999996</v>
      </c>
      <c r="D147" s="93"/>
      <c r="E147" s="134">
        <v>8785.0959999999995</v>
      </c>
      <c r="F147" s="70">
        <f>E147*0.95</f>
        <v>8345.8411999999989</v>
      </c>
      <c r="G147" s="70">
        <f>E147-F147</f>
        <v>439.25480000000061</v>
      </c>
      <c r="H147" s="94"/>
      <c r="I147" s="94"/>
      <c r="J147" s="94"/>
      <c r="K147" s="94"/>
      <c r="L147" s="94"/>
      <c r="M147" s="94"/>
      <c r="N147" s="94"/>
      <c r="O147" s="94"/>
      <c r="P147" s="94"/>
      <c r="Q147" s="95"/>
      <c r="R147" s="133"/>
      <c r="S147" s="77"/>
      <c r="T147" s="94"/>
      <c r="U147" s="96"/>
      <c r="V147" s="50"/>
      <c r="W147" s="11"/>
      <c r="X147" s="11"/>
      <c r="Y147" s="11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</row>
    <row r="148" spans="1:42" ht="25.5" customHeight="1">
      <c r="A148" s="63">
        <v>106</v>
      </c>
      <c r="B148" s="78" t="s">
        <v>96</v>
      </c>
      <c r="C148" s="65">
        <v>1.46</v>
      </c>
      <c r="D148" s="93"/>
      <c r="E148" s="134">
        <v>14353.925999999999</v>
      </c>
      <c r="F148" s="70">
        <f>E148*0.95</f>
        <v>13636.229699999998</v>
      </c>
      <c r="G148" s="70">
        <f>E148-F148</f>
        <v>717.69630000000143</v>
      </c>
      <c r="H148" s="94"/>
      <c r="I148" s="94"/>
      <c r="J148" s="94"/>
      <c r="K148" s="94"/>
      <c r="L148" s="94"/>
      <c r="M148" s="94"/>
      <c r="N148" s="94"/>
      <c r="O148" s="94"/>
      <c r="P148" s="94"/>
      <c r="Q148" s="95"/>
      <c r="R148" s="133"/>
      <c r="S148" s="77"/>
      <c r="T148" s="94"/>
      <c r="U148" s="96"/>
      <c r="V148" s="50"/>
      <c r="W148" s="11"/>
      <c r="X148" s="11"/>
      <c r="Y148" s="11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</row>
    <row r="149" spans="1:42" ht="45" customHeight="1">
      <c r="A149" s="63">
        <v>107</v>
      </c>
      <c r="B149" s="78" t="s">
        <v>97</v>
      </c>
      <c r="C149" s="65"/>
      <c r="D149" s="93"/>
      <c r="E149" s="134"/>
      <c r="F149" s="70"/>
      <c r="G149" s="70"/>
      <c r="H149" s="94"/>
      <c r="I149" s="94"/>
      <c r="J149" s="94"/>
      <c r="K149" s="94"/>
      <c r="L149" s="94"/>
      <c r="M149" s="65">
        <v>1.0169999999999999</v>
      </c>
      <c r="N149" s="93"/>
      <c r="O149" s="70">
        <v>10878.19</v>
      </c>
      <c r="P149" s="70">
        <f>O149*0.95</f>
        <v>10334.280500000001</v>
      </c>
      <c r="Q149" s="129">
        <f>O149-P149</f>
        <v>543.90949999999975</v>
      </c>
      <c r="R149" s="133"/>
      <c r="S149" s="77"/>
      <c r="T149" s="94"/>
      <c r="U149" s="96"/>
      <c r="V149" s="50"/>
      <c r="W149" s="11"/>
      <c r="X149" s="11"/>
      <c r="Y149" s="11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</row>
    <row r="150" spans="1:42" ht="27.75" customHeight="1">
      <c r="A150" s="63">
        <v>108</v>
      </c>
      <c r="B150" s="78" t="s">
        <v>210</v>
      </c>
      <c r="C150" s="65"/>
      <c r="D150" s="93"/>
      <c r="E150" s="134"/>
      <c r="F150" s="70"/>
      <c r="G150" s="70"/>
      <c r="H150" s="94"/>
      <c r="I150" s="94"/>
      <c r="J150" s="94"/>
      <c r="K150" s="94"/>
      <c r="L150" s="94"/>
      <c r="M150" s="65">
        <v>2.395</v>
      </c>
      <c r="N150" s="93"/>
      <c r="O150" s="70">
        <v>22472.47</v>
      </c>
      <c r="P150" s="70">
        <f>O150*0.95</f>
        <v>21348.8465</v>
      </c>
      <c r="Q150" s="129">
        <f>O150-P150</f>
        <v>1123.6235000000015</v>
      </c>
      <c r="R150" s="133"/>
      <c r="S150" s="77"/>
      <c r="T150" s="94"/>
      <c r="U150" s="96"/>
      <c r="V150" s="50"/>
      <c r="W150" s="11"/>
      <c r="X150" s="11"/>
      <c r="Y150" s="11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</row>
    <row r="151" spans="1:42" ht="26.25" customHeight="1">
      <c r="A151" s="63">
        <v>109</v>
      </c>
      <c r="B151" s="78" t="s">
        <v>209</v>
      </c>
      <c r="C151" s="65"/>
      <c r="D151" s="93"/>
      <c r="E151" s="134"/>
      <c r="F151" s="70"/>
      <c r="G151" s="70"/>
      <c r="H151" s="94"/>
      <c r="I151" s="94"/>
      <c r="J151" s="94"/>
      <c r="K151" s="94"/>
      <c r="L151" s="94"/>
      <c r="M151" s="65">
        <v>2.4390000000000001</v>
      </c>
      <c r="N151" s="93"/>
      <c r="O151" s="70">
        <v>26581.360000000001</v>
      </c>
      <c r="P151" s="70">
        <f>O151*0.95</f>
        <v>25252.291999999998</v>
      </c>
      <c r="Q151" s="129">
        <f>O151-P151</f>
        <v>1329.0680000000029</v>
      </c>
      <c r="R151" s="133"/>
      <c r="S151" s="77"/>
      <c r="T151" s="94"/>
      <c r="U151" s="96"/>
      <c r="V151" s="50"/>
      <c r="W151" s="11"/>
      <c r="X151" s="11"/>
      <c r="Y151" s="11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</row>
    <row r="152" spans="1:42" ht="24.75" customHeight="1">
      <c r="A152" s="63">
        <v>110</v>
      </c>
      <c r="B152" s="78" t="s">
        <v>98</v>
      </c>
      <c r="C152" s="65"/>
      <c r="D152" s="93"/>
      <c r="E152" s="134"/>
      <c r="F152" s="70"/>
      <c r="G152" s="70"/>
      <c r="H152" s="94"/>
      <c r="I152" s="94"/>
      <c r="J152" s="94"/>
      <c r="K152" s="94"/>
      <c r="L152" s="94"/>
      <c r="M152" s="65">
        <v>1.4470000000000001</v>
      </c>
      <c r="N152" s="94"/>
      <c r="O152" s="70">
        <v>31257.78</v>
      </c>
      <c r="P152" s="70">
        <f>O152*0.95-0.01</f>
        <v>29694.880999999998</v>
      </c>
      <c r="Q152" s="129">
        <f>O152-P152</f>
        <v>1562.8990000000013</v>
      </c>
      <c r="R152" s="133"/>
      <c r="S152" s="77"/>
      <c r="T152" s="94"/>
      <c r="U152" s="96"/>
      <c r="V152" s="50"/>
      <c r="W152" s="11"/>
      <c r="X152" s="11"/>
      <c r="Y152" s="11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</row>
    <row r="153" spans="1:42" ht="28.5" customHeight="1">
      <c r="A153" s="63"/>
      <c r="B153" s="56" t="s">
        <v>99</v>
      </c>
      <c r="C153" s="57">
        <f>SUM(C155:C178)</f>
        <v>0.94199999999999995</v>
      </c>
      <c r="D153" s="54"/>
      <c r="E153" s="57">
        <f>SUM(E155:E178)</f>
        <v>43385</v>
      </c>
      <c r="F153" s="57">
        <f>SUM(F155:F178)</f>
        <v>41215.699999999997</v>
      </c>
      <c r="G153" s="57">
        <f>SUM(G155:G178)</f>
        <v>2169.2999999999993</v>
      </c>
      <c r="H153" s="57">
        <f>SUM(H156:H178)</f>
        <v>19.798999999999999</v>
      </c>
      <c r="I153" s="131"/>
      <c r="J153" s="57">
        <f>SUM(J156:J178)</f>
        <v>196842.1</v>
      </c>
      <c r="K153" s="57">
        <f>SUM(K156:K178)</f>
        <v>187000</v>
      </c>
      <c r="L153" s="57">
        <f>SUM(L156:L178)</f>
        <v>9842.1000000000058</v>
      </c>
      <c r="M153" s="131"/>
      <c r="N153" s="131"/>
      <c r="O153" s="131"/>
      <c r="P153" s="131"/>
      <c r="Q153" s="135"/>
      <c r="R153" s="60" t="e">
        <f>#REF!</f>
        <v>#REF!</v>
      </c>
      <c r="S153" s="60"/>
      <c r="T153" s="57" t="e">
        <f>#REF!</f>
        <v>#REF!</v>
      </c>
      <c r="U153" s="58" t="e">
        <f>#REF!</f>
        <v>#REF!</v>
      </c>
      <c r="V153" s="59" t="e">
        <f>#REF!</f>
        <v>#REF!</v>
      </c>
      <c r="W153" s="11"/>
      <c r="X153" s="11"/>
      <c r="Y153" s="11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</row>
    <row r="154" spans="1:42" ht="23.25" customHeight="1">
      <c r="A154" s="63"/>
      <c r="B154" s="78" t="s">
        <v>53</v>
      </c>
      <c r="C154" s="65">
        <f>C153</f>
        <v>0.94199999999999995</v>
      </c>
      <c r="D154" s="93"/>
      <c r="E154" s="70">
        <f>E153</f>
        <v>43385</v>
      </c>
      <c r="F154" s="70">
        <f>F153</f>
        <v>41215.699999999997</v>
      </c>
      <c r="G154" s="70">
        <f>G153</f>
        <v>2169.2999999999993</v>
      </c>
      <c r="H154" s="65">
        <f>H153</f>
        <v>19.798999999999999</v>
      </c>
      <c r="I154" s="93"/>
      <c r="J154" s="70">
        <f>J153</f>
        <v>196842.1</v>
      </c>
      <c r="K154" s="70">
        <f>K153</f>
        <v>187000</v>
      </c>
      <c r="L154" s="70">
        <f>L153</f>
        <v>9842.1000000000058</v>
      </c>
      <c r="M154" s="94"/>
      <c r="N154" s="94"/>
      <c r="O154" s="94"/>
      <c r="P154" s="94"/>
      <c r="Q154" s="95"/>
      <c r="R154" s="133"/>
      <c r="S154" s="94"/>
      <c r="T154" s="94"/>
      <c r="U154" s="96"/>
      <c r="V154" s="50"/>
      <c r="W154" s="11"/>
      <c r="X154" s="11"/>
      <c r="Y154" s="11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</row>
    <row r="155" spans="1:42" ht="21.75" customHeight="1">
      <c r="A155" s="63">
        <v>111</v>
      </c>
      <c r="B155" s="64" t="s">
        <v>100</v>
      </c>
      <c r="C155" s="65">
        <v>0.94199999999999995</v>
      </c>
      <c r="D155" s="66"/>
      <c r="E155" s="67">
        <v>11806</v>
      </c>
      <c r="F155" s="67">
        <v>11215.7</v>
      </c>
      <c r="G155" s="67">
        <f>E155-F155</f>
        <v>590.29999999999927</v>
      </c>
      <c r="H155" s="136"/>
      <c r="I155" s="137"/>
      <c r="J155" s="137"/>
      <c r="K155" s="137"/>
      <c r="L155" s="137"/>
      <c r="M155" s="137"/>
      <c r="N155" s="137"/>
      <c r="O155" s="137"/>
      <c r="P155" s="137"/>
      <c r="Q155" s="138"/>
      <c r="R155" s="101"/>
      <c r="S155" s="101"/>
      <c r="T155" s="75"/>
      <c r="U155" s="102"/>
      <c r="V155" s="50"/>
      <c r="W155" s="11"/>
      <c r="X155" s="11"/>
      <c r="Y155" s="11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</row>
    <row r="156" spans="1:42" ht="23.25" customHeight="1">
      <c r="A156" s="63">
        <v>112</v>
      </c>
      <c r="B156" s="64" t="s">
        <v>101</v>
      </c>
      <c r="C156" s="65"/>
      <c r="D156" s="66"/>
      <c r="E156" s="67"/>
      <c r="F156" s="67"/>
      <c r="G156" s="67"/>
      <c r="H156" s="179">
        <v>0.63</v>
      </c>
      <c r="I156" s="187"/>
      <c r="J156" s="187">
        <v>13029.3</v>
      </c>
      <c r="K156" s="187">
        <v>12377.84</v>
      </c>
      <c r="L156" s="187">
        <f t="shared" ref="L156:L170" si="26">J156-K156</f>
        <v>651.45999999999913</v>
      </c>
      <c r="M156" s="137"/>
      <c r="N156" s="137"/>
      <c r="O156" s="137"/>
      <c r="P156" s="137"/>
      <c r="Q156" s="138"/>
      <c r="R156" s="140"/>
      <c r="S156" s="101"/>
      <c r="T156" s="75"/>
      <c r="U156" s="102"/>
      <c r="V156" s="50"/>
      <c r="W156" s="11"/>
      <c r="X156" s="11"/>
      <c r="Y156" s="11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</row>
    <row r="157" spans="1:42" ht="19.5" customHeight="1">
      <c r="A157" s="63">
        <v>113</v>
      </c>
      <c r="B157" s="64" t="s">
        <v>211</v>
      </c>
      <c r="C157" s="65"/>
      <c r="D157" s="66"/>
      <c r="E157" s="67"/>
      <c r="F157" s="67"/>
      <c r="G157" s="67"/>
      <c r="H157" s="179">
        <v>0.29499999999999998</v>
      </c>
      <c r="I157" s="187"/>
      <c r="J157" s="187">
        <v>4116.42</v>
      </c>
      <c r="K157" s="187">
        <v>3910.5990000000002</v>
      </c>
      <c r="L157" s="187">
        <f t="shared" si="26"/>
        <v>205.82099999999991</v>
      </c>
      <c r="M157" s="137"/>
      <c r="N157" s="137"/>
      <c r="O157" s="137"/>
      <c r="P157" s="137"/>
      <c r="Q157" s="138"/>
      <c r="R157" s="140"/>
      <c r="S157" s="101"/>
      <c r="T157" s="75"/>
      <c r="U157" s="102"/>
      <c r="V157" s="50"/>
      <c r="W157" s="11"/>
      <c r="X157" s="11"/>
      <c r="Y157" s="11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</row>
    <row r="158" spans="1:42" ht="21.75" customHeight="1">
      <c r="A158" s="63">
        <v>114</v>
      </c>
      <c r="B158" s="64" t="s">
        <v>102</v>
      </c>
      <c r="C158" s="65"/>
      <c r="D158" s="66"/>
      <c r="E158" s="67"/>
      <c r="F158" s="67"/>
      <c r="G158" s="67"/>
      <c r="H158" s="179">
        <v>0.56000000000000005</v>
      </c>
      <c r="I158" s="187"/>
      <c r="J158" s="187">
        <v>4266.7570500000002</v>
      </c>
      <c r="K158" s="187">
        <v>4053.4191999999998</v>
      </c>
      <c r="L158" s="187">
        <f t="shared" si="26"/>
        <v>213.33785000000034</v>
      </c>
      <c r="M158" s="137"/>
      <c r="N158" s="137"/>
      <c r="O158" s="137"/>
      <c r="P158" s="137"/>
      <c r="Q158" s="138"/>
      <c r="R158" s="140"/>
      <c r="S158" s="101"/>
      <c r="T158" s="75"/>
      <c r="U158" s="102"/>
      <c r="V158" s="50"/>
      <c r="W158" s="11"/>
      <c r="X158" s="11"/>
      <c r="Y158" s="11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</row>
    <row r="159" spans="1:42" ht="19.5" customHeight="1">
      <c r="A159" s="63">
        <v>115</v>
      </c>
      <c r="B159" s="64" t="s">
        <v>212</v>
      </c>
      <c r="C159" s="65"/>
      <c r="D159" s="66"/>
      <c r="E159" s="67"/>
      <c r="F159" s="67"/>
      <c r="G159" s="67"/>
      <c r="H159" s="179">
        <v>2.48</v>
      </c>
      <c r="I159" s="187"/>
      <c r="J159" s="187">
        <v>22576.89</v>
      </c>
      <c r="K159" s="187">
        <v>21448.0455</v>
      </c>
      <c r="L159" s="187">
        <f t="shared" si="26"/>
        <v>1128.8444999999992</v>
      </c>
      <c r="M159" s="137"/>
      <c r="N159" s="137"/>
      <c r="O159" s="137"/>
      <c r="P159" s="137"/>
      <c r="Q159" s="138"/>
      <c r="R159" s="140"/>
      <c r="S159" s="101"/>
      <c r="T159" s="75"/>
      <c r="U159" s="102"/>
      <c r="V159" s="50"/>
      <c r="W159" s="11"/>
      <c r="X159" s="11"/>
      <c r="Y159" s="11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</row>
    <row r="160" spans="1:42" ht="23.25" customHeight="1">
      <c r="A160" s="63">
        <v>116</v>
      </c>
      <c r="B160" s="64" t="s">
        <v>213</v>
      </c>
      <c r="C160" s="65"/>
      <c r="D160" s="66"/>
      <c r="E160" s="67"/>
      <c r="F160" s="67"/>
      <c r="G160" s="67"/>
      <c r="H160" s="179">
        <v>0.55000000000000004</v>
      </c>
      <c r="I160" s="187"/>
      <c r="J160" s="187">
        <v>4980.22</v>
      </c>
      <c r="K160" s="187">
        <v>4731.2089999999998</v>
      </c>
      <c r="L160" s="187">
        <f t="shared" si="26"/>
        <v>249.01100000000042</v>
      </c>
      <c r="M160" s="137"/>
      <c r="N160" s="137"/>
      <c r="O160" s="137"/>
      <c r="P160" s="137"/>
      <c r="Q160" s="138"/>
      <c r="R160" s="140"/>
      <c r="S160" s="101"/>
      <c r="T160" s="75"/>
      <c r="U160" s="102"/>
      <c r="V160" s="50"/>
      <c r="W160" s="11"/>
      <c r="X160" s="11"/>
      <c r="Y160" s="11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</row>
    <row r="161" spans="1:42" ht="21.75" customHeight="1">
      <c r="A161" s="63">
        <v>117</v>
      </c>
      <c r="B161" s="64" t="s">
        <v>103</v>
      </c>
      <c r="C161" s="65"/>
      <c r="D161" s="66"/>
      <c r="E161" s="67">
        <v>31579</v>
      </c>
      <c r="F161" s="67">
        <v>30000</v>
      </c>
      <c r="G161" s="67">
        <f>E161-F161</f>
        <v>1579</v>
      </c>
      <c r="H161" s="179">
        <v>1.4850000000000001</v>
      </c>
      <c r="I161" s="187"/>
      <c r="J161" s="187">
        <v>6733.9</v>
      </c>
      <c r="K161" s="187">
        <v>6397.2049999999999</v>
      </c>
      <c r="L161" s="187">
        <f t="shared" si="26"/>
        <v>336.69499999999971</v>
      </c>
      <c r="M161" s="137"/>
      <c r="N161" s="137"/>
      <c r="O161" s="137"/>
      <c r="P161" s="137"/>
      <c r="Q161" s="138"/>
      <c r="R161" s="140"/>
      <c r="S161" s="101"/>
      <c r="T161" s="75"/>
      <c r="U161" s="102"/>
      <c r="V161" s="50"/>
      <c r="W161" s="11"/>
      <c r="X161" s="11"/>
      <c r="Y161" s="11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</row>
    <row r="162" spans="1:42" ht="26.1" customHeight="1">
      <c r="A162" s="63">
        <v>118</v>
      </c>
      <c r="B162" s="64" t="s">
        <v>104</v>
      </c>
      <c r="C162" s="65"/>
      <c r="D162" s="66"/>
      <c r="E162" s="67"/>
      <c r="F162" s="67"/>
      <c r="G162" s="67"/>
      <c r="H162" s="179">
        <v>0.94499999999999995</v>
      </c>
      <c r="I162" s="187"/>
      <c r="J162" s="187">
        <v>16761.8</v>
      </c>
      <c r="K162" s="187">
        <v>15923.71</v>
      </c>
      <c r="L162" s="187">
        <f t="shared" si="26"/>
        <v>838.09000000000015</v>
      </c>
      <c r="M162" s="137"/>
      <c r="N162" s="137"/>
      <c r="O162" s="137"/>
      <c r="P162" s="137"/>
      <c r="Q162" s="138"/>
      <c r="R162" s="140"/>
      <c r="S162" s="101"/>
      <c r="T162" s="75"/>
      <c r="U162" s="102"/>
      <c r="V162" s="50"/>
      <c r="W162" s="11"/>
      <c r="X162" s="11"/>
      <c r="Y162" s="11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</row>
    <row r="163" spans="1:42" ht="26.1" customHeight="1">
      <c r="A163" s="63">
        <v>119</v>
      </c>
      <c r="B163" s="64" t="s">
        <v>105</v>
      </c>
      <c r="C163" s="65"/>
      <c r="D163" s="66"/>
      <c r="E163" s="67"/>
      <c r="F163" s="67"/>
      <c r="G163" s="67"/>
      <c r="H163" s="179">
        <v>0.56999999999999995</v>
      </c>
      <c r="I163" s="187"/>
      <c r="J163" s="187">
        <v>7912.8077999999996</v>
      </c>
      <c r="K163" s="187">
        <v>7517.16741</v>
      </c>
      <c r="L163" s="187">
        <f t="shared" si="26"/>
        <v>395.64038999999957</v>
      </c>
      <c r="M163" s="137"/>
      <c r="N163" s="137"/>
      <c r="O163" s="137"/>
      <c r="P163" s="137"/>
      <c r="Q163" s="138"/>
      <c r="R163" s="140"/>
      <c r="S163" s="101"/>
      <c r="T163" s="75"/>
      <c r="U163" s="102"/>
      <c r="V163" s="50"/>
      <c r="W163" s="11"/>
      <c r="X163" s="11"/>
      <c r="Y163" s="11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</row>
    <row r="164" spans="1:42" ht="26.1" customHeight="1">
      <c r="A164" s="63">
        <v>120</v>
      </c>
      <c r="B164" s="64" t="s">
        <v>106</v>
      </c>
      <c r="C164" s="65"/>
      <c r="D164" s="66"/>
      <c r="E164" s="67"/>
      <c r="F164" s="67"/>
      <c r="G164" s="67"/>
      <c r="H164" s="179">
        <v>0.29299999999999998</v>
      </c>
      <c r="I164" s="187"/>
      <c r="J164" s="187">
        <v>3574.58</v>
      </c>
      <c r="K164" s="187">
        <v>3395.8510000000001</v>
      </c>
      <c r="L164" s="187">
        <f t="shared" si="26"/>
        <v>178.72899999999981</v>
      </c>
      <c r="M164" s="137"/>
      <c r="N164" s="137"/>
      <c r="O164" s="137"/>
      <c r="P164" s="137"/>
      <c r="Q164" s="138"/>
      <c r="R164" s="140"/>
      <c r="S164" s="101"/>
      <c r="T164" s="75"/>
      <c r="U164" s="102"/>
      <c r="V164" s="50"/>
      <c r="W164" s="11"/>
      <c r="X164" s="11"/>
      <c r="Y164" s="11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</row>
    <row r="165" spans="1:42" ht="26.1" customHeight="1">
      <c r="A165" s="63">
        <v>121</v>
      </c>
      <c r="B165" s="64" t="s">
        <v>107</v>
      </c>
      <c r="C165" s="65"/>
      <c r="D165" s="66"/>
      <c r="E165" s="67"/>
      <c r="F165" s="67"/>
      <c r="G165" s="67"/>
      <c r="H165" s="179">
        <v>0.51300000000000001</v>
      </c>
      <c r="I165" s="187"/>
      <c r="J165" s="187">
        <v>6310.36</v>
      </c>
      <c r="K165" s="187">
        <v>5994.8419999999996</v>
      </c>
      <c r="L165" s="187">
        <f t="shared" si="26"/>
        <v>315.51800000000003</v>
      </c>
      <c r="M165" s="137"/>
      <c r="N165" s="137"/>
      <c r="O165" s="137"/>
      <c r="P165" s="137"/>
      <c r="Q165" s="138"/>
      <c r="R165" s="140"/>
      <c r="S165" s="101"/>
      <c r="T165" s="75"/>
      <c r="U165" s="102"/>
      <c r="V165" s="50"/>
      <c r="W165" s="11"/>
      <c r="X165" s="11"/>
      <c r="Y165" s="11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</row>
    <row r="166" spans="1:42" ht="26.1" customHeight="1">
      <c r="A166" s="63">
        <v>122</v>
      </c>
      <c r="B166" s="64" t="s">
        <v>215</v>
      </c>
      <c r="C166" s="65"/>
      <c r="D166" s="66"/>
      <c r="E166" s="67"/>
      <c r="F166" s="67"/>
      <c r="G166" s="67"/>
      <c r="H166" s="179">
        <v>0.55300000000000005</v>
      </c>
      <c r="I166" s="187"/>
      <c r="J166" s="187">
        <v>1268.941</v>
      </c>
      <c r="K166" s="187">
        <v>1205.49395</v>
      </c>
      <c r="L166" s="187">
        <f t="shared" si="26"/>
        <v>63.44704999999999</v>
      </c>
      <c r="M166" s="137"/>
      <c r="N166" s="137"/>
      <c r="O166" s="137"/>
      <c r="P166" s="137"/>
      <c r="Q166" s="138"/>
      <c r="R166" s="140"/>
      <c r="S166" s="101"/>
      <c r="T166" s="75"/>
      <c r="U166" s="102"/>
      <c r="V166" s="50"/>
      <c r="W166" s="11"/>
      <c r="X166" s="11"/>
      <c r="Y166" s="11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</row>
    <row r="167" spans="1:42" ht="26.1" customHeight="1">
      <c r="A167" s="63">
        <v>123</v>
      </c>
      <c r="B167" s="64" t="s">
        <v>108</v>
      </c>
      <c r="C167" s="65"/>
      <c r="D167" s="66"/>
      <c r="E167" s="67"/>
      <c r="F167" s="67"/>
      <c r="G167" s="67"/>
      <c r="H167" s="179">
        <v>0.56000000000000005</v>
      </c>
      <c r="I167" s="187"/>
      <c r="J167" s="187">
        <v>348.19069999999999</v>
      </c>
      <c r="K167" s="187">
        <v>330.78116999999997</v>
      </c>
      <c r="L167" s="187">
        <f t="shared" si="26"/>
        <v>17.409530000000018</v>
      </c>
      <c r="M167" s="137"/>
      <c r="N167" s="137"/>
      <c r="O167" s="137"/>
      <c r="P167" s="137"/>
      <c r="Q167" s="138"/>
      <c r="R167" s="140"/>
      <c r="S167" s="101"/>
      <c r="T167" s="75"/>
      <c r="U167" s="102"/>
      <c r="V167" s="50"/>
      <c r="W167" s="11"/>
      <c r="X167" s="11"/>
      <c r="Y167" s="11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</row>
    <row r="168" spans="1:42" ht="26.1" customHeight="1">
      <c r="A168" s="63">
        <v>124</v>
      </c>
      <c r="B168" s="64" t="s">
        <v>109</v>
      </c>
      <c r="C168" s="65"/>
      <c r="D168" s="66"/>
      <c r="E168" s="67"/>
      <c r="F168" s="67"/>
      <c r="G168" s="67"/>
      <c r="H168" s="179">
        <v>3.1</v>
      </c>
      <c r="I168" s="187"/>
      <c r="J168" s="187">
        <v>22698.74</v>
      </c>
      <c r="K168" s="187">
        <v>21563.803</v>
      </c>
      <c r="L168" s="187">
        <f t="shared" si="26"/>
        <v>1134.9370000000017</v>
      </c>
      <c r="M168" s="137"/>
      <c r="N168" s="137"/>
      <c r="O168" s="137"/>
      <c r="P168" s="137"/>
      <c r="Q168" s="138"/>
      <c r="R168" s="140"/>
      <c r="S168" s="101"/>
      <c r="T168" s="75"/>
      <c r="U168" s="102"/>
      <c r="V168" s="50"/>
      <c r="W168" s="11"/>
      <c r="X168" s="11"/>
      <c r="Y168" s="11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</row>
    <row r="169" spans="1:42" ht="26.1" customHeight="1">
      <c r="A169" s="63">
        <v>125</v>
      </c>
      <c r="B169" s="64" t="s">
        <v>110</v>
      </c>
      <c r="C169" s="65"/>
      <c r="D169" s="66"/>
      <c r="E169" s="67"/>
      <c r="F169" s="67"/>
      <c r="G169" s="67"/>
      <c r="H169" s="179">
        <v>0.88100000000000001</v>
      </c>
      <c r="I169" s="187"/>
      <c r="J169" s="187">
        <v>8561.6</v>
      </c>
      <c r="K169" s="187">
        <v>8133.52</v>
      </c>
      <c r="L169" s="187">
        <f t="shared" si="26"/>
        <v>428.07999999999993</v>
      </c>
      <c r="M169" s="137"/>
      <c r="N169" s="137"/>
      <c r="O169" s="137"/>
      <c r="P169" s="137"/>
      <c r="Q169" s="138"/>
      <c r="R169" s="140"/>
      <c r="S169" s="101"/>
      <c r="T169" s="75"/>
      <c r="U169" s="102"/>
      <c r="V169" s="50"/>
      <c r="W169" s="11"/>
      <c r="X169" s="11"/>
      <c r="Y169" s="11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</row>
    <row r="170" spans="1:42" ht="26.1" customHeight="1">
      <c r="A170" s="63">
        <v>126</v>
      </c>
      <c r="B170" s="64" t="s">
        <v>111</v>
      </c>
      <c r="C170" s="65"/>
      <c r="D170" s="66"/>
      <c r="E170" s="67"/>
      <c r="F170" s="67"/>
      <c r="G170" s="67"/>
      <c r="H170" s="179">
        <v>1.78</v>
      </c>
      <c r="I170" s="187"/>
      <c r="J170" s="187">
        <v>21754.86</v>
      </c>
      <c r="K170" s="187">
        <v>20667.116999999998</v>
      </c>
      <c r="L170" s="187">
        <f t="shared" si="26"/>
        <v>1087.7430000000022</v>
      </c>
      <c r="M170" s="137"/>
      <c r="N170" s="137"/>
      <c r="O170" s="137"/>
      <c r="P170" s="137"/>
      <c r="Q170" s="138"/>
      <c r="R170" s="140"/>
      <c r="S170" s="101"/>
      <c r="T170" s="75"/>
      <c r="U170" s="102"/>
      <c r="V170" s="50"/>
      <c r="W170" s="11"/>
      <c r="X170" s="11"/>
      <c r="Y170" s="11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</row>
    <row r="171" spans="1:42" ht="26.1" customHeight="1">
      <c r="A171" s="63">
        <v>127</v>
      </c>
      <c r="B171" s="64" t="s">
        <v>112</v>
      </c>
      <c r="C171" s="65"/>
      <c r="D171" s="66"/>
      <c r="E171" s="67"/>
      <c r="F171" s="67"/>
      <c r="G171" s="67"/>
      <c r="H171" s="179">
        <v>0.47099999999999997</v>
      </c>
      <c r="I171" s="187"/>
      <c r="J171" s="187">
        <v>23435.99</v>
      </c>
      <c r="K171" s="187">
        <v>22264.190500000001</v>
      </c>
      <c r="L171" s="187">
        <f t="shared" ref="L171:L173" si="27">J171-K171</f>
        <v>1171.799500000001</v>
      </c>
      <c r="M171" s="137"/>
      <c r="N171" s="137"/>
      <c r="O171" s="137"/>
      <c r="P171" s="137"/>
      <c r="Q171" s="138"/>
      <c r="R171" s="140"/>
      <c r="S171" s="101"/>
      <c r="T171" s="75"/>
      <c r="U171" s="102"/>
      <c r="V171" s="50"/>
      <c r="W171" s="11"/>
      <c r="X171" s="11"/>
      <c r="Y171" s="11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</row>
    <row r="172" spans="1:42" ht="26.1" customHeight="1">
      <c r="A172" s="63">
        <v>128</v>
      </c>
      <c r="B172" s="64" t="s">
        <v>113</v>
      </c>
      <c r="C172" s="65"/>
      <c r="D172" s="66"/>
      <c r="E172" s="67"/>
      <c r="F172" s="67"/>
      <c r="G172" s="67"/>
      <c r="H172" s="179">
        <v>0.253</v>
      </c>
      <c r="I172" s="187"/>
      <c r="J172" s="187">
        <v>2296.52</v>
      </c>
      <c r="K172" s="187">
        <v>2181.694</v>
      </c>
      <c r="L172" s="187">
        <f t="shared" si="27"/>
        <v>114.82600000000002</v>
      </c>
      <c r="M172" s="137"/>
      <c r="N172" s="137"/>
      <c r="O172" s="137"/>
      <c r="P172" s="137"/>
      <c r="Q172" s="138"/>
      <c r="R172" s="140"/>
      <c r="S172" s="101"/>
      <c r="T172" s="75"/>
      <c r="U172" s="102"/>
      <c r="V172" s="50"/>
      <c r="W172" s="11"/>
      <c r="X172" s="11"/>
      <c r="Y172" s="11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</row>
    <row r="173" spans="1:42" ht="26.1" customHeight="1">
      <c r="A173" s="63">
        <v>129</v>
      </c>
      <c r="B173" s="64" t="s">
        <v>214</v>
      </c>
      <c r="C173" s="65"/>
      <c r="D173" s="66"/>
      <c r="E173" s="67"/>
      <c r="F173" s="67"/>
      <c r="G173" s="67"/>
      <c r="H173" s="179">
        <v>0.41</v>
      </c>
      <c r="I173" s="187"/>
      <c r="J173" s="187">
        <v>6435.1864500000001</v>
      </c>
      <c r="K173" s="187">
        <v>6113.42713</v>
      </c>
      <c r="L173" s="187">
        <f t="shared" si="27"/>
        <v>321.75932000000012</v>
      </c>
      <c r="M173" s="137"/>
      <c r="N173" s="137"/>
      <c r="O173" s="137"/>
      <c r="P173" s="137"/>
      <c r="Q173" s="138"/>
      <c r="R173" s="140"/>
      <c r="S173" s="101"/>
      <c r="T173" s="75"/>
      <c r="U173" s="102"/>
      <c r="V173" s="50"/>
      <c r="W173" s="11"/>
      <c r="X173" s="11"/>
      <c r="Y173" s="11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</row>
    <row r="174" spans="1:42" ht="40.5" customHeight="1">
      <c r="A174" s="63"/>
      <c r="B174" s="107" t="s">
        <v>273</v>
      </c>
      <c r="C174" s="65"/>
      <c r="D174" s="66"/>
      <c r="E174" s="67"/>
      <c r="F174" s="67"/>
      <c r="G174" s="67"/>
      <c r="H174" s="139"/>
      <c r="I174" s="137"/>
      <c r="J174" s="137"/>
      <c r="K174" s="137"/>
      <c r="L174" s="137"/>
      <c r="M174" s="137"/>
      <c r="N174" s="137"/>
      <c r="O174" s="137"/>
      <c r="P174" s="137"/>
      <c r="Q174" s="138"/>
      <c r="R174" s="140"/>
      <c r="S174" s="101"/>
      <c r="T174" s="75"/>
      <c r="U174" s="102"/>
      <c r="V174" s="50"/>
      <c r="W174" s="11"/>
      <c r="X174" s="11"/>
      <c r="Y174" s="176" t="s">
        <v>87</v>
      </c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</row>
    <row r="175" spans="1:42" ht="36.75" customHeight="1">
      <c r="A175" s="63">
        <v>130</v>
      </c>
      <c r="B175" s="64" t="s">
        <v>195</v>
      </c>
      <c r="C175" s="65"/>
      <c r="D175" s="66"/>
      <c r="E175" s="67"/>
      <c r="F175" s="67"/>
      <c r="G175" s="67"/>
      <c r="H175" s="139">
        <v>0.56000000000000005</v>
      </c>
      <c r="I175" s="137"/>
      <c r="J175" s="137">
        <v>5273.4160000000002</v>
      </c>
      <c r="K175" s="137">
        <v>5009.7452000000003</v>
      </c>
      <c r="L175" s="137">
        <f t="shared" ref="L175:L178" si="28">J175-K175</f>
        <v>263.67079999999987</v>
      </c>
      <c r="M175" s="137"/>
      <c r="N175" s="137"/>
      <c r="O175" s="137"/>
      <c r="P175" s="137"/>
      <c r="Q175" s="138"/>
      <c r="R175" s="140"/>
      <c r="S175" s="101"/>
      <c r="T175" s="75"/>
      <c r="U175" s="102"/>
      <c r="V175" s="50"/>
      <c r="W175" s="11"/>
      <c r="X175" s="11"/>
      <c r="Y175" s="11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</row>
    <row r="176" spans="1:42" ht="39" customHeight="1">
      <c r="A176" s="63">
        <v>131</v>
      </c>
      <c r="B176" s="64" t="s">
        <v>274</v>
      </c>
      <c r="C176" s="65"/>
      <c r="D176" s="66"/>
      <c r="E176" s="67"/>
      <c r="F176" s="67"/>
      <c r="G176" s="67"/>
      <c r="H176" s="139">
        <v>1.85</v>
      </c>
      <c r="I176" s="137"/>
      <c r="J176" s="137">
        <v>6208.3944000000001</v>
      </c>
      <c r="K176" s="137">
        <v>5897.9746800000003</v>
      </c>
      <c r="L176" s="137">
        <f t="shared" si="28"/>
        <v>310.41971999999987</v>
      </c>
      <c r="M176" s="137"/>
      <c r="N176" s="137"/>
      <c r="O176" s="137"/>
      <c r="P176" s="137"/>
      <c r="Q176" s="138"/>
      <c r="R176" s="140"/>
      <c r="S176" s="101"/>
      <c r="T176" s="75"/>
      <c r="U176" s="102"/>
      <c r="V176" s="50"/>
      <c r="W176" s="11"/>
      <c r="X176" s="11"/>
      <c r="Y176" s="11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</row>
    <row r="177" spans="1:42" ht="42.75" customHeight="1">
      <c r="A177" s="63">
        <v>132</v>
      </c>
      <c r="B177" s="107" t="s">
        <v>206</v>
      </c>
      <c r="C177" s="65"/>
      <c r="D177" s="66"/>
      <c r="E177" s="67"/>
      <c r="F177" s="67"/>
      <c r="G177" s="67"/>
      <c r="H177" s="139">
        <v>0.61</v>
      </c>
      <c r="I177" s="137"/>
      <c r="J177" s="137">
        <v>7625.1818000000003</v>
      </c>
      <c r="K177" s="137">
        <v>7243.9227000000001</v>
      </c>
      <c r="L177" s="137">
        <f t="shared" si="28"/>
        <v>381.25910000000022</v>
      </c>
      <c r="M177" s="137"/>
      <c r="N177" s="137"/>
      <c r="O177" s="137"/>
      <c r="P177" s="137"/>
      <c r="Q177" s="138"/>
      <c r="R177" s="140"/>
      <c r="S177" s="101"/>
      <c r="T177" s="75"/>
      <c r="U177" s="102"/>
      <c r="V177" s="50"/>
      <c r="W177" s="11"/>
      <c r="X177" s="11"/>
      <c r="Y177" s="11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</row>
    <row r="178" spans="1:42" ht="42.75" customHeight="1">
      <c r="A178" s="63">
        <v>133</v>
      </c>
      <c r="B178" s="107" t="s">
        <v>196</v>
      </c>
      <c r="C178" s="65"/>
      <c r="D178" s="66"/>
      <c r="E178" s="67"/>
      <c r="F178" s="67"/>
      <c r="G178" s="67"/>
      <c r="H178" s="179">
        <v>0.45</v>
      </c>
      <c r="I178" s="187"/>
      <c r="J178" s="187">
        <v>672.04480000000001</v>
      </c>
      <c r="K178" s="187">
        <v>638.44255999999996</v>
      </c>
      <c r="L178" s="187">
        <f t="shared" si="28"/>
        <v>33.602240000000052</v>
      </c>
      <c r="M178" s="137"/>
      <c r="N178" s="137"/>
      <c r="O178" s="137"/>
      <c r="P178" s="137"/>
      <c r="Q178" s="138"/>
      <c r="R178" s="140"/>
      <c r="S178" s="101"/>
      <c r="T178" s="75"/>
      <c r="U178" s="102"/>
      <c r="V178" s="50"/>
      <c r="W178" s="11"/>
      <c r="X178" s="11"/>
      <c r="Y178" s="11"/>
      <c r="Z178" s="4"/>
      <c r="AA178" s="177" t="s">
        <v>87</v>
      </c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</row>
    <row r="179" spans="1:42" ht="28.5" customHeight="1">
      <c r="A179" s="63"/>
      <c r="B179" s="56" t="s">
        <v>114</v>
      </c>
      <c r="C179" s="57">
        <f>C180</f>
        <v>3.4420000000000002</v>
      </c>
      <c r="D179" s="54"/>
      <c r="E179" s="57">
        <f>E180</f>
        <v>39750.300000000003</v>
      </c>
      <c r="F179" s="57">
        <f>F180</f>
        <v>37762.800000000003</v>
      </c>
      <c r="G179" s="57">
        <f>G180</f>
        <v>1987.5</v>
      </c>
      <c r="H179" s="57"/>
      <c r="I179" s="57"/>
      <c r="J179" s="57"/>
      <c r="K179" s="57"/>
      <c r="L179" s="75"/>
      <c r="M179" s="57">
        <f>SUM(M184:M189)</f>
        <v>4.7023000000000001</v>
      </c>
      <c r="N179" s="75"/>
      <c r="O179" s="57">
        <f>SUM(O184:O189)</f>
        <v>75383.899999999994</v>
      </c>
      <c r="P179" s="57">
        <f>SUM(P184:P189)</f>
        <v>71614.7</v>
      </c>
      <c r="Q179" s="59">
        <f>SUM(Q184:Q189)</f>
        <v>3769.2000000000007</v>
      </c>
      <c r="R179" s="141">
        <f>R180</f>
        <v>1.6</v>
      </c>
      <c r="S179" s="57"/>
      <c r="T179" s="57">
        <f>T180</f>
        <v>40000</v>
      </c>
      <c r="U179" s="58">
        <f>U180</f>
        <v>38000</v>
      </c>
      <c r="V179" s="59">
        <f>V180</f>
        <v>2000</v>
      </c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</row>
    <row r="180" spans="1:42" ht="25.5" customHeight="1">
      <c r="A180" s="142"/>
      <c r="B180" s="78" t="s">
        <v>53</v>
      </c>
      <c r="C180" s="65">
        <f>SUM(C181:C183)</f>
        <v>3.4420000000000002</v>
      </c>
      <c r="D180" s="67"/>
      <c r="E180" s="67">
        <f>SUM(E181:E183)</f>
        <v>39750.300000000003</v>
      </c>
      <c r="F180" s="67">
        <f>SUM(F181:F183)</f>
        <v>37762.800000000003</v>
      </c>
      <c r="G180" s="67">
        <f>SUM(G181:G183)</f>
        <v>1987.5</v>
      </c>
      <c r="H180" s="57"/>
      <c r="I180" s="57"/>
      <c r="J180" s="57"/>
      <c r="K180" s="57"/>
      <c r="L180" s="75"/>
      <c r="M180" s="75"/>
      <c r="N180" s="75"/>
      <c r="O180" s="75"/>
      <c r="P180" s="75"/>
      <c r="Q180" s="143"/>
      <c r="R180" s="111">
        <v>1.6</v>
      </c>
      <c r="S180" s="112"/>
      <c r="T180" s="104">
        <v>40000</v>
      </c>
      <c r="U180" s="113">
        <f>T180*0.95</f>
        <v>38000</v>
      </c>
      <c r="V180" s="114">
        <f>T180-U180</f>
        <v>2000</v>
      </c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</row>
    <row r="181" spans="1:42" ht="27" customHeight="1">
      <c r="A181" s="63">
        <v>134</v>
      </c>
      <c r="B181" s="64" t="s">
        <v>115</v>
      </c>
      <c r="C181" s="65">
        <v>1.3140000000000001</v>
      </c>
      <c r="D181" s="67"/>
      <c r="E181" s="67">
        <f>F181+G181</f>
        <v>17316.387719999999</v>
      </c>
      <c r="F181" s="67">
        <f>16450.53986+0.04411</f>
        <v>16450.58397</v>
      </c>
      <c r="G181" s="67">
        <f>865.8179-0.01348-0.00067</f>
        <v>865.80375000000004</v>
      </c>
      <c r="H181" s="57"/>
      <c r="I181" s="57"/>
      <c r="J181" s="57"/>
      <c r="K181" s="57"/>
      <c r="L181" s="75"/>
      <c r="M181" s="75"/>
      <c r="N181" s="75"/>
      <c r="O181" s="75"/>
      <c r="P181" s="75"/>
      <c r="Q181" s="143"/>
      <c r="R181" s="111"/>
      <c r="S181" s="112"/>
      <c r="T181" s="104"/>
      <c r="U181" s="113"/>
      <c r="V181" s="11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</row>
    <row r="182" spans="1:42" ht="30.75" customHeight="1">
      <c r="A182" s="63">
        <v>135</v>
      </c>
      <c r="B182" s="64" t="s">
        <v>116</v>
      </c>
      <c r="C182" s="65">
        <v>0.75600000000000001</v>
      </c>
      <c r="D182" s="67"/>
      <c r="E182" s="67">
        <f>F182+G182</f>
        <v>16488.924930000001</v>
      </c>
      <c r="F182" s="67">
        <v>15664.47868</v>
      </c>
      <c r="G182" s="67">
        <v>824.44624999999996</v>
      </c>
      <c r="H182" s="57"/>
      <c r="I182" s="57"/>
      <c r="J182" s="57"/>
      <c r="K182" s="57"/>
      <c r="L182" s="75"/>
      <c r="M182" s="75"/>
      <c r="N182" s="75"/>
      <c r="O182" s="75"/>
      <c r="P182" s="75"/>
      <c r="Q182" s="143"/>
      <c r="R182" s="111"/>
      <c r="S182" s="112"/>
      <c r="T182" s="104"/>
      <c r="U182" s="113"/>
      <c r="V182" s="11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</row>
    <row r="183" spans="1:42" ht="26.25" customHeight="1">
      <c r="A183" s="63">
        <v>136</v>
      </c>
      <c r="B183" s="64" t="s">
        <v>117</v>
      </c>
      <c r="C183" s="65">
        <v>1.3720000000000001</v>
      </c>
      <c r="D183" s="67"/>
      <c r="E183" s="67">
        <f>F183+G183</f>
        <v>5944.9873500000003</v>
      </c>
      <c r="F183" s="67">
        <v>5647.7373500000003</v>
      </c>
      <c r="G183" s="67">
        <f>297.24933+0.00067</f>
        <v>297.25</v>
      </c>
      <c r="H183" s="57"/>
      <c r="I183" s="57"/>
      <c r="J183" s="57"/>
      <c r="K183" s="57"/>
      <c r="L183" s="75"/>
      <c r="M183" s="75"/>
      <c r="N183" s="75"/>
      <c r="O183" s="75"/>
      <c r="P183" s="75"/>
      <c r="Q183" s="143"/>
      <c r="R183" s="111"/>
      <c r="S183" s="112"/>
      <c r="T183" s="104"/>
      <c r="U183" s="113"/>
      <c r="V183" s="114"/>
      <c r="W183" s="4"/>
      <c r="X183" s="4"/>
      <c r="Y183" s="4" t="s">
        <v>35</v>
      </c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</row>
    <row r="184" spans="1:42" ht="42.75" customHeight="1">
      <c r="A184" s="63">
        <v>137</v>
      </c>
      <c r="B184" s="64" t="s">
        <v>118</v>
      </c>
      <c r="C184" s="65"/>
      <c r="D184" s="67"/>
      <c r="E184" s="67"/>
      <c r="F184" s="67"/>
      <c r="G184" s="67"/>
      <c r="H184" s="57"/>
      <c r="I184" s="57"/>
      <c r="J184" s="57"/>
      <c r="K184" s="57"/>
      <c r="L184" s="75"/>
      <c r="M184" s="65">
        <v>0.84</v>
      </c>
      <c r="N184" s="67"/>
      <c r="O184" s="67">
        <v>24550.17</v>
      </c>
      <c r="P184" s="67">
        <v>23322.661499999998</v>
      </c>
      <c r="Q184" s="71">
        <f>O184-P184</f>
        <v>1227.5084999999999</v>
      </c>
      <c r="R184" s="111"/>
      <c r="S184" s="112"/>
      <c r="T184" s="104"/>
      <c r="U184" s="113"/>
      <c r="V184" s="11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</row>
    <row r="185" spans="1:42" ht="23.25" customHeight="1">
      <c r="A185" s="63">
        <v>138</v>
      </c>
      <c r="B185" s="64" t="s">
        <v>119</v>
      </c>
      <c r="C185" s="65"/>
      <c r="D185" s="67"/>
      <c r="E185" s="67"/>
      <c r="F185" s="67"/>
      <c r="G185" s="67"/>
      <c r="H185" s="57"/>
      <c r="I185" s="57"/>
      <c r="J185" s="57"/>
      <c r="K185" s="57"/>
      <c r="L185" s="75"/>
      <c r="M185" s="65">
        <v>0.59360000000000002</v>
      </c>
      <c r="N185" s="67"/>
      <c r="O185" s="67">
        <v>5733.29</v>
      </c>
      <c r="P185" s="67">
        <v>5446.6255000000001</v>
      </c>
      <c r="Q185" s="71">
        <f>O185-P185</f>
        <v>286.66449999999986</v>
      </c>
      <c r="R185" s="111"/>
      <c r="S185" s="112"/>
      <c r="T185" s="104"/>
      <c r="U185" s="113"/>
      <c r="V185" s="11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</row>
    <row r="186" spans="1:42" ht="24.75" customHeight="1">
      <c r="A186" s="63">
        <v>139</v>
      </c>
      <c r="B186" s="64" t="s">
        <v>120</v>
      </c>
      <c r="C186" s="65"/>
      <c r="D186" s="67"/>
      <c r="E186" s="67"/>
      <c r="F186" s="67"/>
      <c r="G186" s="67"/>
      <c r="H186" s="57"/>
      <c r="I186" s="57"/>
      <c r="J186" s="57"/>
      <c r="K186" s="57"/>
      <c r="L186" s="75"/>
      <c r="M186" s="65">
        <v>0.3357</v>
      </c>
      <c r="N186" s="67"/>
      <c r="O186" s="67">
        <v>6702.26</v>
      </c>
      <c r="P186" s="67">
        <v>6367.1469999999999</v>
      </c>
      <c r="Q186" s="71">
        <f>O186-P186</f>
        <v>335.11300000000028</v>
      </c>
      <c r="R186" s="111"/>
      <c r="S186" s="112"/>
      <c r="T186" s="104"/>
      <c r="U186" s="113"/>
      <c r="V186" s="11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</row>
    <row r="187" spans="1:42" ht="24.75" customHeight="1">
      <c r="A187" s="63">
        <v>140</v>
      </c>
      <c r="B187" s="64" t="s">
        <v>121</v>
      </c>
      <c r="C187" s="65"/>
      <c r="D187" s="67"/>
      <c r="E187" s="67"/>
      <c r="F187" s="67"/>
      <c r="G187" s="67"/>
      <c r="H187" s="57"/>
      <c r="I187" s="57"/>
      <c r="J187" s="57"/>
      <c r="K187" s="57"/>
      <c r="L187" s="75"/>
      <c r="M187" s="65">
        <v>1.675</v>
      </c>
      <c r="N187" s="67"/>
      <c r="O187" s="67">
        <v>8311.5400000000009</v>
      </c>
      <c r="P187" s="67">
        <v>7895.9629999999997</v>
      </c>
      <c r="Q187" s="71">
        <f>O187-P187</f>
        <v>415.57700000000114</v>
      </c>
      <c r="R187" s="111"/>
      <c r="S187" s="112"/>
      <c r="T187" s="104"/>
      <c r="U187" s="113"/>
      <c r="V187" s="11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</row>
    <row r="188" spans="1:42" ht="44.25" customHeight="1">
      <c r="A188" s="63"/>
      <c r="B188" s="107" t="s">
        <v>273</v>
      </c>
      <c r="C188" s="65"/>
      <c r="D188" s="67"/>
      <c r="E188" s="67"/>
      <c r="F188" s="67"/>
      <c r="G188" s="67"/>
      <c r="H188" s="57"/>
      <c r="I188" s="57"/>
      <c r="J188" s="57"/>
      <c r="K188" s="57"/>
      <c r="L188" s="75"/>
      <c r="M188" s="75"/>
      <c r="N188" s="75"/>
      <c r="O188" s="75"/>
      <c r="P188" s="75"/>
      <c r="Q188" s="143"/>
      <c r="R188" s="111"/>
      <c r="S188" s="112"/>
      <c r="T188" s="104"/>
      <c r="U188" s="113"/>
      <c r="V188" s="11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</row>
    <row r="189" spans="1:42" ht="41.25" customHeight="1">
      <c r="A189" s="63">
        <v>141</v>
      </c>
      <c r="B189" s="64" t="s">
        <v>122</v>
      </c>
      <c r="C189" s="65"/>
      <c r="D189" s="67"/>
      <c r="E189" s="67"/>
      <c r="F189" s="67"/>
      <c r="G189" s="67"/>
      <c r="H189" s="57"/>
      <c r="I189" s="57"/>
      <c r="J189" s="57"/>
      <c r="K189" s="57"/>
      <c r="L189" s="75"/>
      <c r="M189" s="65">
        <v>1.258</v>
      </c>
      <c r="N189" s="67"/>
      <c r="O189" s="67">
        <v>30086.639999999999</v>
      </c>
      <c r="P189" s="67">
        <v>28582.303</v>
      </c>
      <c r="Q189" s="71">
        <f>O189-P189</f>
        <v>1504.3369999999995</v>
      </c>
      <c r="R189" s="111"/>
      <c r="S189" s="112"/>
      <c r="T189" s="104"/>
      <c r="U189" s="113"/>
      <c r="V189" s="11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</row>
    <row r="190" spans="1:42" ht="36" hidden="1" customHeight="1">
      <c r="A190" s="63"/>
      <c r="B190" s="56" t="s">
        <v>123</v>
      </c>
      <c r="C190" s="57">
        <f>C191</f>
        <v>0</v>
      </c>
      <c r="D190" s="57">
        <f>D192</f>
        <v>0</v>
      </c>
      <c r="E190" s="57">
        <f>SUM(E191:E192)</f>
        <v>0</v>
      </c>
      <c r="F190" s="57">
        <f>SUM(F191:F192)</f>
        <v>0</v>
      </c>
      <c r="G190" s="57">
        <f>SUM(G191:G192)</f>
        <v>0</v>
      </c>
      <c r="H190" s="130"/>
      <c r="I190" s="131"/>
      <c r="J190" s="131"/>
      <c r="K190" s="131"/>
      <c r="L190" s="131"/>
      <c r="M190" s="131"/>
      <c r="N190" s="131"/>
      <c r="O190" s="131"/>
      <c r="P190" s="131"/>
      <c r="Q190" s="135"/>
      <c r="R190" s="60">
        <f>R191</f>
        <v>1.6</v>
      </c>
      <c r="S190" s="57" t="e">
        <f>#REF!</f>
        <v>#REF!</v>
      </c>
      <c r="T190" s="57" t="e">
        <f>T191+#REF!</f>
        <v>#REF!</v>
      </c>
      <c r="U190" s="57" t="e">
        <f>U191+#REF!</f>
        <v>#REF!</v>
      </c>
      <c r="V190" s="59" t="e">
        <f>V191+#REF!</f>
        <v>#REF!</v>
      </c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</row>
    <row r="191" spans="1:42" ht="24.75" hidden="1" customHeight="1">
      <c r="A191" s="63"/>
      <c r="B191" s="64" t="s">
        <v>124</v>
      </c>
      <c r="C191" s="65"/>
      <c r="D191" s="93"/>
      <c r="E191" s="67"/>
      <c r="F191" s="67"/>
      <c r="G191" s="67"/>
      <c r="H191" s="94"/>
      <c r="I191" s="94"/>
      <c r="J191" s="94"/>
      <c r="K191" s="94"/>
      <c r="L191" s="94"/>
      <c r="M191" s="94"/>
      <c r="N191" s="94"/>
      <c r="O191" s="94"/>
      <c r="P191" s="94"/>
      <c r="Q191" s="95"/>
      <c r="R191" s="111">
        <v>1.6</v>
      </c>
      <c r="S191" s="77"/>
      <c r="T191" s="67">
        <v>40000</v>
      </c>
      <c r="U191" s="144">
        <f>T191*0.94</f>
        <v>37600</v>
      </c>
      <c r="V191" s="71">
        <f>T191-U191</f>
        <v>2400</v>
      </c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</row>
    <row r="192" spans="1:42" ht="42" hidden="1" customHeight="1">
      <c r="A192" s="63"/>
      <c r="B192" s="64" t="s">
        <v>125</v>
      </c>
      <c r="C192" s="93"/>
      <c r="D192" s="67"/>
      <c r="E192" s="67"/>
      <c r="F192" s="67"/>
      <c r="G192" s="67"/>
      <c r="H192" s="94"/>
      <c r="I192" s="94"/>
      <c r="J192" s="94"/>
      <c r="K192" s="94"/>
      <c r="L192" s="94"/>
      <c r="M192" s="94"/>
      <c r="N192" s="94"/>
      <c r="O192" s="94"/>
      <c r="P192" s="94"/>
      <c r="Q192" s="95"/>
      <c r="R192" s="111"/>
      <c r="S192" s="77"/>
      <c r="T192" s="67"/>
      <c r="U192" s="144"/>
      <c r="V192" s="71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</row>
    <row r="193" spans="1:42" ht="29.25" customHeight="1">
      <c r="A193" s="63"/>
      <c r="B193" s="56" t="s">
        <v>126</v>
      </c>
      <c r="C193" s="57">
        <f>SUM(C194:C204)</f>
        <v>8.3800000000000008</v>
      </c>
      <c r="D193" s="57"/>
      <c r="E193" s="57">
        <f>SUM(E194:E204)</f>
        <v>87848.3</v>
      </c>
      <c r="F193" s="57">
        <f>SUM(F194:F204)</f>
        <v>83455.899999999994</v>
      </c>
      <c r="G193" s="57">
        <f>SUM(G194:G204)</f>
        <v>4392.4000000000033</v>
      </c>
      <c r="H193" s="130">
        <f>SUM(H205:H206)</f>
        <v>0.34199999999999997</v>
      </c>
      <c r="I193" s="131"/>
      <c r="J193" s="131">
        <f>SUM(J205:J206)</f>
        <v>1160.0999999999999</v>
      </c>
      <c r="K193" s="131">
        <f t="shared" ref="K193:L193" si="29">SUM(K205:K206)</f>
        <v>1102.0999999999999</v>
      </c>
      <c r="L193" s="131">
        <f t="shared" si="29"/>
        <v>58</v>
      </c>
      <c r="M193" s="131"/>
      <c r="N193" s="131"/>
      <c r="O193" s="131"/>
      <c r="P193" s="131"/>
      <c r="Q193" s="135"/>
      <c r="R193" s="60">
        <f>R194</f>
        <v>2.9140000000000001</v>
      </c>
      <c r="S193" s="57"/>
      <c r="T193" s="57">
        <f>T194</f>
        <v>40000</v>
      </c>
      <c r="U193" s="57">
        <f>U194</f>
        <v>38000</v>
      </c>
      <c r="V193" s="59">
        <f>V194</f>
        <v>2000</v>
      </c>
      <c r="W193" s="145" t="e">
        <f>O193+#REF!</f>
        <v>#REF!</v>
      </c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</row>
    <row r="194" spans="1:42" ht="27.95" customHeight="1">
      <c r="A194" s="63">
        <v>142</v>
      </c>
      <c r="B194" s="64" t="s">
        <v>127</v>
      </c>
      <c r="C194" s="65">
        <v>0.79</v>
      </c>
      <c r="D194" s="66"/>
      <c r="E194" s="67">
        <v>13951</v>
      </c>
      <c r="F194" s="67">
        <f>E194*0.95-0.05</f>
        <v>13253.4</v>
      </c>
      <c r="G194" s="67">
        <f t="shared" ref="G194:G204" si="30">E194-F194</f>
        <v>697.60000000000036</v>
      </c>
      <c r="H194" s="139"/>
      <c r="I194" s="146"/>
      <c r="J194" s="146"/>
      <c r="K194" s="146"/>
      <c r="L194" s="146"/>
      <c r="M194" s="146"/>
      <c r="N194" s="146"/>
      <c r="O194" s="146"/>
      <c r="P194" s="146"/>
      <c r="Q194" s="147"/>
      <c r="R194" s="111">
        <f>1.439+1.475</f>
        <v>2.9140000000000001</v>
      </c>
      <c r="S194" s="101"/>
      <c r="T194" s="67">
        <v>40000</v>
      </c>
      <c r="U194" s="144">
        <f>T194*0.95</f>
        <v>38000</v>
      </c>
      <c r="V194" s="71">
        <f>T194-U194</f>
        <v>2000</v>
      </c>
      <c r="W194" s="145" t="e">
        <f>P193+#REF!</f>
        <v>#REF!</v>
      </c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</row>
    <row r="195" spans="1:42" ht="27.95" customHeight="1">
      <c r="A195" s="63">
        <v>143</v>
      </c>
      <c r="B195" s="64" t="s">
        <v>128</v>
      </c>
      <c r="C195" s="65">
        <v>0.28999999999999998</v>
      </c>
      <c r="D195" s="66"/>
      <c r="E195" s="67">
        <v>10331</v>
      </c>
      <c r="F195" s="67">
        <f>E195*0.95+0.05</f>
        <v>9814.4999999999982</v>
      </c>
      <c r="G195" s="67">
        <f t="shared" si="30"/>
        <v>516.50000000000182</v>
      </c>
      <c r="H195" s="139"/>
      <c r="I195" s="146"/>
      <c r="J195" s="146"/>
      <c r="K195" s="146"/>
      <c r="L195" s="146"/>
      <c r="M195" s="146"/>
      <c r="N195" s="146"/>
      <c r="O195" s="146"/>
      <c r="P195" s="146"/>
      <c r="Q195" s="147"/>
      <c r="R195" s="111"/>
      <c r="S195" s="101"/>
      <c r="T195" s="67"/>
      <c r="U195" s="144"/>
      <c r="V195" s="71"/>
      <c r="W195" s="145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</row>
    <row r="196" spans="1:42" ht="27.95" customHeight="1">
      <c r="A196" s="63">
        <v>144</v>
      </c>
      <c r="B196" s="64" t="s">
        <v>129</v>
      </c>
      <c r="C196" s="65">
        <v>0.51500000000000001</v>
      </c>
      <c r="D196" s="66"/>
      <c r="E196" s="67">
        <v>5928.4</v>
      </c>
      <c r="F196" s="67">
        <f>E196*0.95+0.02</f>
        <v>5632</v>
      </c>
      <c r="G196" s="67">
        <f t="shared" si="30"/>
        <v>296.39999999999964</v>
      </c>
      <c r="H196" s="139"/>
      <c r="I196" s="146"/>
      <c r="J196" s="146"/>
      <c r="K196" s="146"/>
      <c r="L196" s="146"/>
      <c r="M196" s="146"/>
      <c r="N196" s="146"/>
      <c r="O196" s="146"/>
      <c r="P196" s="146"/>
      <c r="Q196" s="147"/>
      <c r="R196" s="111"/>
      <c r="S196" s="101"/>
      <c r="T196" s="67"/>
      <c r="U196" s="144"/>
      <c r="V196" s="71"/>
      <c r="W196" s="145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</row>
    <row r="197" spans="1:42" ht="27.95" customHeight="1">
      <c r="A197" s="63">
        <v>145</v>
      </c>
      <c r="B197" s="64" t="s">
        <v>130</v>
      </c>
      <c r="C197" s="65">
        <v>1.66</v>
      </c>
      <c r="D197" s="66"/>
      <c r="E197" s="67">
        <v>7546.4</v>
      </c>
      <c r="F197" s="67">
        <f>E197*0.95+0.02</f>
        <v>7169.0999999999995</v>
      </c>
      <c r="G197" s="67">
        <f t="shared" si="30"/>
        <v>377.30000000000018</v>
      </c>
      <c r="H197" s="139"/>
      <c r="I197" s="146"/>
      <c r="J197" s="146"/>
      <c r="K197" s="146"/>
      <c r="L197" s="146"/>
      <c r="M197" s="146"/>
      <c r="N197" s="146"/>
      <c r="O197" s="146"/>
      <c r="P197" s="146"/>
      <c r="Q197" s="147"/>
      <c r="R197" s="111"/>
      <c r="S197" s="101"/>
      <c r="T197" s="67"/>
      <c r="U197" s="144"/>
      <c r="V197" s="71"/>
      <c r="W197" s="145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</row>
    <row r="198" spans="1:42" ht="27.95" customHeight="1">
      <c r="A198" s="63">
        <v>146</v>
      </c>
      <c r="B198" s="64" t="s">
        <v>131</v>
      </c>
      <c r="C198" s="65">
        <v>0.59</v>
      </c>
      <c r="D198" s="66"/>
      <c r="E198" s="67">
        <v>5804.4</v>
      </c>
      <c r="F198" s="67">
        <f>E198*0.95+0.02</f>
        <v>5514.2</v>
      </c>
      <c r="G198" s="67">
        <f t="shared" si="30"/>
        <v>290.19999999999982</v>
      </c>
      <c r="H198" s="139"/>
      <c r="I198" s="146"/>
      <c r="J198" s="146"/>
      <c r="K198" s="146"/>
      <c r="L198" s="146"/>
      <c r="M198" s="146"/>
      <c r="N198" s="146"/>
      <c r="O198" s="146"/>
      <c r="P198" s="146"/>
      <c r="Q198" s="147"/>
      <c r="R198" s="111"/>
      <c r="S198" s="101"/>
      <c r="T198" s="67"/>
      <c r="U198" s="144"/>
      <c r="V198" s="71"/>
      <c r="W198" s="145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</row>
    <row r="199" spans="1:42" ht="27.95" customHeight="1">
      <c r="A199" s="63">
        <v>147</v>
      </c>
      <c r="B199" s="64" t="s">
        <v>132</v>
      </c>
      <c r="C199" s="65">
        <v>1.95</v>
      </c>
      <c r="D199" s="66"/>
      <c r="E199" s="67">
        <v>17428.400000000001</v>
      </c>
      <c r="F199" s="67">
        <f>E199*0.95+0.02</f>
        <v>16557</v>
      </c>
      <c r="G199" s="67">
        <f t="shared" si="30"/>
        <v>871.40000000000146</v>
      </c>
      <c r="H199" s="139"/>
      <c r="I199" s="146"/>
      <c r="J199" s="146"/>
      <c r="K199" s="146"/>
      <c r="L199" s="146"/>
      <c r="M199" s="146"/>
      <c r="N199" s="146"/>
      <c r="O199" s="146"/>
      <c r="P199" s="146"/>
      <c r="Q199" s="147"/>
      <c r="R199" s="111"/>
      <c r="S199" s="101"/>
      <c r="T199" s="67"/>
      <c r="U199" s="144"/>
      <c r="V199" s="71"/>
      <c r="W199" s="145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</row>
    <row r="200" spans="1:42" ht="27.95" customHeight="1">
      <c r="A200" s="63">
        <v>148</v>
      </c>
      <c r="B200" s="64" t="s">
        <v>133</v>
      </c>
      <c r="C200" s="65">
        <v>0.26</v>
      </c>
      <c r="D200" s="66"/>
      <c r="E200" s="67">
        <v>2361.6</v>
      </c>
      <c r="F200" s="67">
        <f>E200*0.95-0.02</f>
        <v>2243.5</v>
      </c>
      <c r="G200" s="67">
        <f t="shared" si="30"/>
        <v>118.09999999999991</v>
      </c>
      <c r="H200" s="139"/>
      <c r="I200" s="146"/>
      <c r="J200" s="146"/>
      <c r="K200" s="146"/>
      <c r="L200" s="146"/>
      <c r="M200" s="146"/>
      <c r="N200" s="146"/>
      <c r="O200" s="146"/>
      <c r="P200" s="146"/>
      <c r="Q200" s="147"/>
      <c r="R200" s="111"/>
      <c r="S200" s="101"/>
      <c r="T200" s="67"/>
      <c r="U200" s="144"/>
      <c r="V200" s="71"/>
      <c r="W200" s="145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</row>
    <row r="201" spans="1:42" ht="27.95" customHeight="1">
      <c r="A201" s="63">
        <v>149</v>
      </c>
      <c r="B201" s="64" t="s">
        <v>134</v>
      </c>
      <c r="C201" s="65">
        <v>7.0000000000000007E-2</v>
      </c>
      <c r="D201" s="66"/>
      <c r="E201" s="67">
        <v>769.2</v>
      </c>
      <c r="F201" s="67">
        <f>E201*0.95-0.04</f>
        <v>730.7</v>
      </c>
      <c r="G201" s="67">
        <f t="shared" si="30"/>
        <v>38.5</v>
      </c>
      <c r="H201" s="139"/>
      <c r="I201" s="146"/>
      <c r="J201" s="146"/>
      <c r="K201" s="146"/>
      <c r="L201" s="146"/>
      <c r="M201" s="146"/>
      <c r="N201" s="146"/>
      <c r="O201" s="146"/>
      <c r="P201" s="146"/>
      <c r="Q201" s="147"/>
      <c r="R201" s="111"/>
      <c r="S201" s="101"/>
      <c r="T201" s="67"/>
      <c r="U201" s="144"/>
      <c r="V201" s="71"/>
      <c r="W201" s="145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</row>
    <row r="202" spans="1:42" ht="27.95" customHeight="1">
      <c r="A202" s="63">
        <v>150</v>
      </c>
      <c r="B202" s="64" t="s">
        <v>135</v>
      </c>
      <c r="C202" s="65">
        <v>0.4</v>
      </c>
      <c r="D202" s="66"/>
      <c r="E202" s="67">
        <v>3501.4</v>
      </c>
      <c r="F202" s="67">
        <f>E202*0.95+0.07</f>
        <v>3326.4</v>
      </c>
      <c r="G202" s="67">
        <f t="shared" si="30"/>
        <v>175</v>
      </c>
      <c r="H202" s="139"/>
      <c r="I202" s="146"/>
      <c r="J202" s="146"/>
      <c r="K202" s="146"/>
      <c r="L202" s="146"/>
      <c r="M202" s="146"/>
      <c r="N202" s="146"/>
      <c r="O202" s="146"/>
      <c r="P202" s="146"/>
      <c r="Q202" s="147"/>
      <c r="R202" s="111"/>
      <c r="S202" s="101"/>
      <c r="T202" s="67"/>
      <c r="U202" s="144"/>
      <c r="V202" s="71"/>
      <c r="W202" s="145"/>
      <c r="X202" s="4" t="s">
        <v>87</v>
      </c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</row>
    <row r="203" spans="1:42" ht="27.95" customHeight="1">
      <c r="A203" s="63">
        <v>151</v>
      </c>
      <c r="B203" s="64" t="s">
        <v>136</v>
      </c>
      <c r="C203" s="65">
        <v>0.63</v>
      </c>
      <c r="D203" s="66"/>
      <c r="E203" s="67">
        <v>9978.2000000000007</v>
      </c>
      <c r="F203" s="67">
        <f>E203*0.95-0.09</f>
        <v>9479.2000000000007</v>
      </c>
      <c r="G203" s="67">
        <f t="shared" si="30"/>
        <v>499</v>
      </c>
      <c r="H203" s="139"/>
      <c r="I203" s="146"/>
      <c r="J203" s="146"/>
      <c r="K203" s="146"/>
      <c r="L203" s="146"/>
      <c r="M203" s="146"/>
      <c r="N203" s="146"/>
      <c r="O203" s="146"/>
      <c r="P203" s="146"/>
      <c r="Q203" s="147"/>
      <c r="R203" s="111"/>
      <c r="S203" s="101"/>
      <c r="T203" s="67"/>
      <c r="U203" s="144"/>
      <c r="V203" s="71"/>
      <c r="W203" s="145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</row>
    <row r="204" spans="1:42" ht="27.95" customHeight="1">
      <c r="A204" s="63">
        <v>152</v>
      </c>
      <c r="B204" s="64" t="s">
        <v>137</v>
      </c>
      <c r="C204" s="65">
        <v>1.2250000000000001</v>
      </c>
      <c r="D204" s="66"/>
      <c r="E204" s="67">
        <v>10248.299999999999</v>
      </c>
      <c r="F204" s="67">
        <v>9735.9</v>
      </c>
      <c r="G204" s="67">
        <f t="shared" si="30"/>
        <v>512.39999999999964</v>
      </c>
      <c r="H204" s="139"/>
      <c r="I204" s="146"/>
      <c r="J204" s="146"/>
      <c r="K204" s="146"/>
      <c r="L204" s="146"/>
      <c r="M204" s="146"/>
      <c r="N204" s="146"/>
      <c r="O204" s="146"/>
      <c r="P204" s="146"/>
      <c r="Q204" s="147"/>
      <c r="R204" s="111"/>
      <c r="S204" s="101"/>
      <c r="T204" s="67"/>
      <c r="U204" s="144"/>
      <c r="V204" s="71"/>
      <c r="W204" s="145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</row>
    <row r="205" spans="1:42" ht="27.95" customHeight="1">
      <c r="A205" s="63">
        <v>153</v>
      </c>
      <c r="B205" s="64" t="s">
        <v>197</v>
      </c>
      <c r="C205" s="65"/>
      <c r="D205" s="66"/>
      <c r="E205" s="67"/>
      <c r="F205" s="67"/>
      <c r="G205" s="67"/>
      <c r="H205" s="179">
        <v>0.24</v>
      </c>
      <c r="I205" s="146"/>
      <c r="J205" s="137">
        <f>1160.1-285.78462</f>
        <v>874.31537999999989</v>
      </c>
      <c r="K205" s="137">
        <f>1102.1-271.496</f>
        <v>830.60399999999993</v>
      </c>
      <c r="L205" s="137">
        <f>J205-K205</f>
        <v>43.711379999999963</v>
      </c>
      <c r="M205" s="146"/>
      <c r="N205" s="146"/>
      <c r="O205" s="146"/>
      <c r="P205" s="146"/>
      <c r="Q205" s="147"/>
      <c r="R205" s="111"/>
      <c r="S205" s="101"/>
      <c r="T205" s="67"/>
      <c r="U205" s="144"/>
      <c r="V205" s="71"/>
      <c r="W205" s="145">
        <v>1160.0999999999999</v>
      </c>
      <c r="X205" s="4">
        <v>1102.0999999999999</v>
      </c>
      <c r="Y205" s="4">
        <v>58</v>
      </c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</row>
    <row r="206" spans="1:42" ht="27.95" customHeight="1">
      <c r="A206" s="63">
        <v>154</v>
      </c>
      <c r="B206" s="64" t="s">
        <v>267</v>
      </c>
      <c r="C206" s="65"/>
      <c r="D206" s="66"/>
      <c r="E206" s="67"/>
      <c r="F206" s="67"/>
      <c r="G206" s="67"/>
      <c r="H206" s="179">
        <v>0.10199999999999999</v>
      </c>
      <c r="I206" s="146"/>
      <c r="J206" s="137">
        <f>285.78462</f>
        <v>285.78462000000002</v>
      </c>
      <c r="K206" s="137">
        <f>271.496</f>
        <v>271.49599999999998</v>
      </c>
      <c r="L206" s="137">
        <f>J206-K206</f>
        <v>14.288620000000037</v>
      </c>
      <c r="M206" s="146"/>
      <c r="N206" s="146"/>
      <c r="O206" s="146"/>
      <c r="P206" s="146"/>
      <c r="Q206" s="147"/>
      <c r="R206" s="111"/>
      <c r="S206" s="101"/>
      <c r="T206" s="67"/>
      <c r="U206" s="144"/>
      <c r="V206" s="71"/>
      <c r="W206" s="145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</row>
    <row r="207" spans="1:42" ht="32.25" customHeight="1">
      <c r="A207" s="63"/>
      <c r="B207" s="56" t="s">
        <v>138</v>
      </c>
      <c r="C207" s="57">
        <f>C208</f>
        <v>1.2070000000000001</v>
      </c>
      <c r="D207" s="57"/>
      <c r="E207" s="57">
        <f>E208</f>
        <v>40000</v>
      </c>
      <c r="F207" s="57">
        <f>F208</f>
        <v>37600</v>
      </c>
      <c r="G207" s="57">
        <f>G208</f>
        <v>2400</v>
      </c>
      <c r="H207" s="57"/>
      <c r="I207" s="57"/>
      <c r="J207" s="57"/>
      <c r="K207" s="57"/>
      <c r="L207" s="75"/>
      <c r="M207" s="75">
        <f>SUM(M209:M216)</f>
        <v>9.0220000000000002</v>
      </c>
      <c r="N207" s="75"/>
      <c r="O207" s="57">
        <f>SUM(O209:O216)</f>
        <v>143288.5</v>
      </c>
      <c r="P207" s="57">
        <f>SUM(P209:P216)</f>
        <v>134691.19999999998</v>
      </c>
      <c r="Q207" s="59">
        <f>SUM(Q209:Q216)</f>
        <v>8597.3000000000102</v>
      </c>
      <c r="R207" s="60">
        <f>R208</f>
        <v>1.6</v>
      </c>
      <c r="S207" s="57"/>
      <c r="T207" s="57">
        <f>T208</f>
        <v>40000</v>
      </c>
      <c r="U207" s="57">
        <f>U208</f>
        <v>37600</v>
      </c>
      <c r="V207" s="59">
        <f>V208</f>
        <v>2400</v>
      </c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</row>
    <row r="208" spans="1:42" ht="29.25" customHeight="1">
      <c r="A208" s="63">
        <v>155</v>
      </c>
      <c r="B208" s="64" t="s">
        <v>139</v>
      </c>
      <c r="C208" s="65">
        <v>1.2070000000000001</v>
      </c>
      <c r="D208" s="67"/>
      <c r="E208" s="67">
        <v>40000</v>
      </c>
      <c r="F208" s="67">
        <v>37600</v>
      </c>
      <c r="G208" s="67">
        <v>2400</v>
      </c>
      <c r="H208" s="57"/>
      <c r="I208" s="57"/>
      <c r="J208" s="57"/>
      <c r="K208" s="57"/>
      <c r="L208" s="75"/>
      <c r="M208" s="75"/>
      <c r="N208" s="75"/>
      <c r="O208" s="57"/>
      <c r="P208" s="57"/>
      <c r="Q208" s="59"/>
      <c r="R208" s="111">
        <v>1.6</v>
      </c>
      <c r="S208" s="72"/>
      <c r="T208" s="67">
        <v>40000</v>
      </c>
      <c r="U208" s="68">
        <f>T208*0.94</f>
        <v>37600</v>
      </c>
      <c r="V208" s="71">
        <f>T208-U208</f>
        <v>2400</v>
      </c>
      <c r="W208" s="4"/>
      <c r="X208" s="4"/>
      <c r="Y208" s="4"/>
      <c r="Z208" s="4" t="s">
        <v>87</v>
      </c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</row>
    <row r="209" spans="1:42" ht="23.25" customHeight="1">
      <c r="A209" s="63">
        <v>156</v>
      </c>
      <c r="B209" s="64" t="s">
        <v>140</v>
      </c>
      <c r="C209" s="65"/>
      <c r="D209" s="67"/>
      <c r="E209" s="67"/>
      <c r="F209" s="67"/>
      <c r="G209" s="67"/>
      <c r="H209" s="57"/>
      <c r="I209" s="57"/>
      <c r="J209" s="57"/>
      <c r="K209" s="57"/>
      <c r="L209" s="75"/>
      <c r="M209" s="65">
        <v>1.752</v>
      </c>
      <c r="N209" s="65"/>
      <c r="O209" s="67">
        <v>23504.47</v>
      </c>
      <c r="P209" s="67">
        <f>O209*0.94</f>
        <v>22094.201799999999</v>
      </c>
      <c r="Q209" s="71">
        <f t="shared" ref="Q209:Q216" si="31">O209-P209</f>
        <v>1410.2682000000023</v>
      </c>
      <c r="R209" s="111"/>
      <c r="S209" s="72"/>
      <c r="T209" s="67"/>
      <c r="U209" s="68"/>
      <c r="V209" s="71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</row>
    <row r="210" spans="1:42" ht="27" customHeight="1">
      <c r="A210" s="63">
        <v>157</v>
      </c>
      <c r="B210" s="64" t="s">
        <v>141</v>
      </c>
      <c r="C210" s="65"/>
      <c r="D210" s="67"/>
      <c r="E210" s="67"/>
      <c r="F210" s="67"/>
      <c r="G210" s="67"/>
      <c r="H210" s="57"/>
      <c r="I210" s="57"/>
      <c r="J210" s="57"/>
      <c r="K210" s="57"/>
      <c r="L210" s="75"/>
      <c r="M210" s="65">
        <v>1.3</v>
      </c>
      <c r="N210" s="75"/>
      <c r="O210" s="67">
        <v>19487</v>
      </c>
      <c r="P210" s="67">
        <f>O210*0.94</f>
        <v>18317.78</v>
      </c>
      <c r="Q210" s="71">
        <f t="shared" si="31"/>
        <v>1169.2200000000012</v>
      </c>
      <c r="R210" s="111"/>
      <c r="S210" s="72"/>
      <c r="T210" s="67"/>
      <c r="U210" s="68"/>
      <c r="V210" s="71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</row>
    <row r="211" spans="1:42" ht="23.25" customHeight="1">
      <c r="A211" s="63">
        <v>158</v>
      </c>
      <c r="B211" s="64" t="s">
        <v>142</v>
      </c>
      <c r="C211" s="65"/>
      <c r="D211" s="67"/>
      <c r="E211" s="67"/>
      <c r="F211" s="67"/>
      <c r="G211" s="67"/>
      <c r="H211" s="57"/>
      <c r="I211" s="57"/>
      <c r="J211" s="57"/>
      <c r="K211" s="57"/>
      <c r="L211" s="75"/>
      <c r="M211" s="65">
        <v>0.81</v>
      </c>
      <c r="N211" s="75"/>
      <c r="O211" s="67">
        <v>15903.17</v>
      </c>
      <c r="P211" s="67">
        <f>O211*0.94</f>
        <v>14948.979799999999</v>
      </c>
      <c r="Q211" s="71">
        <f t="shared" si="31"/>
        <v>954.19020000000091</v>
      </c>
      <c r="R211" s="111"/>
      <c r="S211" s="72"/>
      <c r="T211" s="67"/>
      <c r="U211" s="68"/>
      <c r="V211" s="71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</row>
    <row r="212" spans="1:42" ht="45" customHeight="1">
      <c r="A212" s="63">
        <v>159</v>
      </c>
      <c r="B212" s="64" t="s">
        <v>143</v>
      </c>
      <c r="C212" s="65"/>
      <c r="D212" s="67"/>
      <c r="E212" s="67"/>
      <c r="F212" s="67"/>
      <c r="G212" s="67"/>
      <c r="H212" s="57"/>
      <c r="I212" s="57"/>
      <c r="J212" s="57"/>
      <c r="K212" s="57"/>
      <c r="L212" s="75"/>
      <c r="M212" s="65">
        <v>1.8</v>
      </c>
      <c r="N212" s="75"/>
      <c r="O212" s="67">
        <f>24996.102-0.512</f>
        <v>24995.59</v>
      </c>
      <c r="P212" s="148">
        <f>O212*0.94+0.01</f>
        <v>23495.864599999997</v>
      </c>
      <c r="Q212" s="149">
        <f t="shared" si="31"/>
        <v>1499.725400000003</v>
      </c>
      <c r="R212" s="111"/>
      <c r="S212" s="72"/>
      <c r="T212" s="67"/>
      <c r="U212" s="68"/>
      <c r="V212" s="71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</row>
    <row r="213" spans="1:42" ht="44.25" customHeight="1">
      <c r="A213" s="63">
        <v>160</v>
      </c>
      <c r="B213" s="64" t="s">
        <v>144</v>
      </c>
      <c r="C213" s="65"/>
      <c r="D213" s="67"/>
      <c r="E213" s="67"/>
      <c r="F213" s="67"/>
      <c r="G213" s="67"/>
      <c r="H213" s="57"/>
      <c r="I213" s="57"/>
      <c r="J213" s="57"/>
      <c r="K213" s="57"/>
      <c r="L213" s="75"/>
      <c r="M213" s="65">
        <v>0.88</v>
      </c>
      <c r="N213" s="75"/>
      <c r="O213" s="67">
        <v>8833.34</v>
      </c>
      <c r="P213" s="67">
        <f>O213*0.94</f>
        <v>8303.3395999999993</v>
      </c>
      <c r="Q213" s="71">
        <f t="shared" si="31"/>
        <v>530.00040000000081</v>
      </c>
      <c r="R213" s="111"/>
      <c r="S213" s="72"/>
      <c r="T213" s="67"/>
      <c r="U213" s="68"/>
      <c r="V213" s="71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</row>
    <row r="214" spans="1:42" ht="23.25" customHeight="1">
      <c r="A214" s="63">
        <v>161</v>
      </c>
      <c r="B214" s="64" t="s">
        <v>145</v>
      </c>
      <c r="C214" s="65"/>
      <c r="D214" s="67"/>
      <c r="E214" s="67"/>
      <c r="F214" s="67"/>
      <c r="G214" s="67"/>
      <c r="H214" s="57"/>
      <c r="I214" s="57"/>
      <c r="J214" s="57"/>
      <c r="K214" s="57"/>
      <c r="L214" s="75"/>
      <c r="M214" s="65">
        <v>0.32</v>
      </c>
      <c r="N214" s="75"/>
      <c r="O214" s="67">
        <v>7716.35</v>
      </c>
      <c r="P214" s="67">
        <f>O214*0.94</f>
        <v>7253.3689999999997</v>
      </c>
      <c r="Q214" s="71">
        <f t="shared" si="31"/>
        <v>462.98100000000068</v>
      </c>
      <c r="R214" s="111"/>
      <c r="S214" s="72"/>
      <c r="T214" s="67"/>
      <c r="U214" s="68"/>
      <c r="V214" s="71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</row>
    <row r="215" spans="1:42" ht="24.75" customHeight="1">
      <c r="A215" s="63">
        <v>162</v>
      </c>
      <c r="B215" s="64" t="s">
        <v>146</v>
      </c>
      <c r="C215" s="65"/>
      <c r="D215" s="67"/>
      <c r="E215" s="67"/>
      <c r="F215" s="67"/>
      <c r="G215" s="67"/>
      <c r="H215" s="57"/>
      <c r="I215" s="57"/>
      <c r="J215" s="57"/>
      <c r="K215" s="57"/>
      <c r="L215" s="75"/>
      <c r="M215" s="65">
        <v>1.01</v>
      </c>
      <c r="N215" s="75"/>
      <c r="O215" s="67">
        <v>13801.32</v>
      </c>
      <c r="P215" s="67">
        <f>O215*0.94</f>
        <v>12973.2408</v>
      </c>
      <c r="Q215" s="71">
        <f t="shared" si="31"/>
        <v>828.07920000000013</v>
      </c>
      <c r="R215" s="111"/>
      <c r="S215" s="72"/>
      <c r="T215" s="67"/>
      <c r="U215" s="68"/>
      <c r="V215" s="71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</row>
    <row r="216" spans="1:42" ht="26.25" customHeight="1">
      <c r="A216" s="63">
        <v>163</v>
      </c>
      <c r="B216" s="64" t="s">
        <v>147</v>
      </c>
      <c r="C216" s="65"/>
      <c r="D216" s="67"/>
      <c r="E216" s="67"/>
      <c r="F216" s="67"/>
      <c r="G216" s="67"/>
      <c r="H216" s="57"/>
      <c r="I216" s="57"/>
      <c r="J216" s="57"/>
      <c r="K216" s="57"/>
      <c r="L216" s="75"/>
      <c r="M216" s="65">
        <v>1.1499999999999999</v>
      </c>
      <c r="N216" s="75"/>
      <c r="O216" s="65">
        <v>29047.26</v>
      </c>
      <c r="P216" s="67">
        <f>O216*0.94</f>
        <v>27304.424399999996</v>
      </c>
      <c r="Q216" s="71">
        <f t="shared" si="31"/>
        <v>1742.8356000000022</v>
      </c>
      <c r="R216" s="111"/>
      <c r="S216" s="72"/>
      <c r="T216" s="67"/>
      <c r="U216" s="68"/>
      <c r="V216" s="71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</row>
    <row r="217" spans="1:42" ht="30" hidden="1" customHeight="1">
      <c r="A217" s="63"/>
      <c r="B217" s="64"/>
      <c r="C217" s="65"/>
      <c r="D217" s="67"/>
      <c r="E217" s="67"/>
      <c r="F217" s="67"/>
      <c r="G217" s="67"/>
      <c r="H217" s="57"/>
      <c r="I217" s="57"/>
      <c r="J217" s="57"/>
      <c r="K217" s="57"/>
      <c r="L217" s="75"/>
      <c r="M217" s="75"/>
      <c r="N217" s="75"/>
      <c r="O217" s="75"/>
      <c r="P217" s="75"/>
      <c r="Q217" s="143"/>
      <c r="R217" s="111"/>
      <c r="S217" s="72"/>
      <c r="T217" s="67"/>
      <c r="U217" s="68"/>
      <c r="V217" s="71"/>
      <c r="W217" s="4"/>
      <c r="X217" s="4"/>
      <c r="Y217" s="4"/>
      <c r="Z217" s="4"/>
      <c r="AA217" s="4"/>
      <c r="AB217" s="4" t="s">
        <v>15</v>
      </c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</row>
    <row r="218" spans="1:42" ht="27" hidden="1" customHeight="1">
      <c r="A218" s="63"/>
      <c r="B218" s="56" t="s">
        <v>148</v>
      </c>
      <c r="C218" s="54"/>
      <c r="D218" s="54"/>
      <c r="E218" s="54"/>
      <c r="F218" s="54"/>
      <c r="G218" s="54"/>
      <c r="H218" s="130"/>
      <c r="I218" s="54"/>
      <c r="J218" s="54"/>
      <c r="K218" s="54"/>
      <c r="L218" s="54"/>
      <c r="M218" s="54"/>
      <c r="N218" s="54"/>
      <c r="O218" s="54"/>
      <c r="P218" s="54"/>
      <c r="Q218" s="117"/>
      <c r="R218" s="77"/>
      <c r="S218" s="77"/>
      <c r="T218" s="94"/>
      <c r="U218" s="96"/>
      <c r="V218" s="50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</row>
    <row r="219" spans="1:42" ht="27" hidden="1" customHeight="1">
      <c r="A219" s="63"/>
      <c r="B219" s="56"/>
      <c r="C219" s="54"/>
      <c r="D219" s="54"/>
      <c r="E219" s="54"/>
      <c r="F219" s="54"/>
      <c r="G219" s="54"/>
      <c r="H219" s="130"/>
      <c r="I219" s="54"/>
      <c r="J219" s="54"/>
      <c r="K219" s="54"/>
      <c r="L219" s="54"/>
      <c r="M219" s="54"/>
      <c r="N219" s="54"/>
      <c r="O219" s="54"/>
      <c r="P219" s="54"/>
      <c r="Q219" s="117"/>
      <c r="R219" s="77"/>
      <c r="S219" s="77"/>
      <c r="T219" s="94"/>
      <c r="U219" s="96"/>
      <c r="V219" s="50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</row>
    <row r="220" spans="1:42" ht="27.75" customHeight="1">
      <c r="A220" s="63"/>
      <c r="B220" s="56" t="s">
        <v>149</v>
      </c>
      <c r="C220" s="57">
        <f>C221+C222+C223+C224</f>
        <v>19.717999999999996</v>
      </c>
      <c r="D220" s="57"/>
      <c r="E220" s="57">
        <f>SUM(E221:E224)</f>
        <v>406351.12902999995</v>
      </c>
      <c r="F220" s="57">
        <f>SUM(F221:F224)</f>
        <v>377906.5</v>
      </c>
      <c r="G220" s="57">
        <f>SUM(G221:G224)</f>
        <v>28444.629029999996</v>
      </c>
      <c r="H220" s="57">
        <f>H225+H227</f>
        <v>13.208</v>
      </c>
      <c r="I220" s="57"/>
      <c r="J220" s="57">
        <f>J225+J227</f>
        <v>195621.19999999998</v>
      </c>
      <c r="K220" s="57">
        <f>K225+K227</f>
        <v>181927.7</v>
      </c>
      <c r="L220" s="57">
        <f>L225+L227</f>
        <v>13693.499999999985</v>
      </c>
      <c r="M220" s="57"/>
      <c r="N220" s="57"/>
      <c r="O220" s="57"/>
      <c r="P220" s="57"/>
      <c r="Q220" s="59"/>
      <c r="R220" s="60" t="e">
        <f>#REF!+#REF!</f>
        <v>#REF!</v>
      </c>
      <c r="S220" s="57"/>
      <c r="T220" s="57" t="e">
        <f>#REF!+#REF!</f>
        <v>#REF!</v>
      </c>
      <c r="U220" s="57" t="e">
        <f>#REF!+#REF!</f>
        <v>#REF!</v>
      </c>
      <c r="V220" s="59" t="e">
        <f>#REF!+#REF!</f>
        <v>#REF!</v>
      </c>
      <c r="W220" s="4"/>
      <c r="X220" s="4" t="s">
        <v>150</v>
      </c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</row>
    <row r="221" spans="1:42" ht="26.25" customHeight="1">
      <c r="A221" s="63">
        <v>164</v>
      </c>
      <c r="B221" s="107" t="s">
        <v>151</v>
      </c>
      <c r="C221" s="65">
        <v>13.448</v>
      </c>
      <c r="D221" s="93"/>
      <c r="E221" s="67">
        <v>275135</v>
      </c>
      <c r="F221" s="67">
        <v>255875.5</v>
      </c>
      <c r="G221" s="67">
        <f>E221-F221</f>
        <v>19259.5</v>
      </c>
      <c r="H221" s="94"/>
      <c r="I221" s="94"/>
      <c r="J221" s="94"/>
      <c r="K221" s="94"/>
      <c r="L221" s="94"/>
      <c r="M221" s="94"/>
      <c r="N221" s="94"/>
      <c r="O221" s="94"/>
      <c r="P221" s="94"/>
      <c r="Q221" s="95"/>
      <c r="R221" s="77"/>
      <c r="S221" s="77"/>
      <c r="T221" s="94"/>
      <c r="U221" s="96"/>
      <c r="V221" s="50"/>
      <c r="W221" s="4"/>
      <c r="X221" s="4"/>
      <c r="Y221" s="4"/>
      <c r="Z221" s="4"/>
      <c r="AA221" s="186" t="s">
        <v>15</v>
      </c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</row>
    <row r="222" spans="1:42" ht="24" customHeight="1">
      <c r="A222" s="63">
        <v>165</v>
      </c>
      <c r="B222" s="107" t="s">
        <v>152</v>
      </c>
      <c r="C222" s="65">
        <v>5.3250000000000002</v>
      </c>
      <c r="D222" s="93"/>
      <c r="E222" s="67">
        <v>66700</v>
      </c>
      <c r="F222" s="67">
        <v>62031</v>
      </c>
      <c r="G222" s="67">
        <f>E222-F222</f>
        <v>4669</v>
      </c>
      <c r="H222" s="94"/>
      <c r="I222" s="94"/>
      <c r="J222" s="94"/>
      <c r="K222" s="94"/>
      <c r="L222" s="94"/>
      <c r="M222" s="94"/>
      <c r="N222" s="94"/>
      <c r="O222" s="94"/>
      <c r="P222" s="94"/>
      <c r="Q222" s="95"/>
      <c r="R222" s="77"/>
      <c r="S222" s="77"/>
      <c r="T222" s="94"/>
      <c r="U222" s="96"/>
      <c r="V222" s="50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</row>
    <row r="223" spans="1:42" ht="27.75" customHeight="1">
      <c r="A223" s="36">
        <v>166</v>
      </c>
      <c r="B223" s="64" t="s">
        <v>153</v>
      </c>
      <c r="C223" s="65">
        <v>0.80100000000000005</v>
      </c>
      <c r="D223" s="93"/>
      <c r="E223" s="67">
        <v>44604.712379999997</v>
      </c>
      <c r="F223" s="67">
        <f>E223*0.93</f>
        <v>41482.3825134</v>
      </c>
      <c r="G223" s="67">
        <f>E223-F223</f>
        <v>3122.3298665999973</v>
      </c>
      <c r="H223" s="94"/>
      <c r="I223" s="94"/>
      <c r="J223" s="94"/>
      <c r="K223" s="94"/>
      <c r="L223" s="94"/>
      <c r="M223" s="94"/>
      <c r="N223" s="94"/>
      <c r="O223" s="94"/>
      <c r="P223" s="94"/>
      <c r="Q223" s="95"/>
      <c r="R223" s="77"/>
      <c r="S223" s="77"/>
      <c r="T223" s="94"/>
      <c r="U223" s="96"/>
      <c r="V223" s="50"/>
      <c r="W223" s="150">
        <f>F223/E223*100</f>
        <v>93</v>
      </c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</row>
    <row r="224" spans="1:42" ht="45.75" customHeight="1">
      <c r="A224" s="36">
        <v>167</v>
      </c>
      <c r="B224" s="64" t="s">
        <v>154</v>
      </c>
      <c r="C224" s="65">
        <v>0.14399999999999999</v>
      </c>
      <c r="D224" s="93"/>
      <c r="E224" s="67">
        <v>19911.416649999999</v>
      </c>
      <c r="F224" s="67">
        <f>60000-F223</f>
        <v>18517.6174866</v>
      </c>
      <c r="G224" s="67">
        <f>E224-F224</f>
        <v>1393.7991633999991</v>
      </c>
      <c r="H224" s="94"/>
      <c r="I224" s="94"/>
      <c r="J224" s="94"/>
      <c r="K224" s="94"/>
      <c r="L224" s="94"/>
      <c r="M224" s="94"/>
      <c r="N224" s="94"/>
      <c r="O224" s="94"/>
      <c r="P224" s="94"/>
      <c r="Q224" s="95"/>
      <c r="R224" s="77"/>
      <c r="S224" s="77"/>
      <c r="T224" s="94"/>
      <c r="U224" s="96"/>
      <c r="V224" s="50"/>
      <c r="W224" s="150">
        <f>F224/E224*100</f>
        <v>93.000000010546714</v>
      </c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</row>
    <row r="225" spans="1:42" ht="41.25" customHeight="1">
      <c r="A225" s="36">
        <v>168</v>
      </c>
      <c r="B225" s="64" t="s">
        <v>207</v>
      </c>
      <c r="C225" s="65"/>
      <c r="D225" s="93"/>
      <c r="E225" s="67"/>
      <c r="F225" s="67"/>
      <c r="G225" s="67"/>
      <c r="H225" s="65">
        <f>0.816+0.192+0.1</f>
        <v>1.1080000000000001</v>
      </c>
      <c r="I225" s="57"/>
      <c r="J225" s="67">
        <v>22096.9</v>
      </c>
      <c r="K225" s="67">
        <v>20550.099999999999</v>
      </c>
      <c r="L225" s="67">
        <f>J225-K225</f>
        <v>1546.8000000000029</v>
      </c>
      <c r="M225" s="94"/>
      <c r="N225" s="94"/>
      <c r="O225" s="94"/>
      <c r="P225" s="94"/>
      <c r="Q225" s="95"/>
      <c r="R225" s="77"/>
      <c r="S225" s="77"/>
      <c r="T225" s="94"/>
      <c r="U225" s="96"/>
      <c r="V225" s="50"/>
      <c r="W225" s="150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</row>
    <row r="226" spans="1:42" ht="39" customHeight="1">
      <c r="A226" s="36"/>
      <c r="B226" s="107" t="s">
        <v>155</v>
      </c>
      <c r="C226" s="65"/>
      <c r="D226" s="93"/>
      <c r="E226" s="67"/>
      <c r="F226" s="67"/>
      <c r="G226" s="67"/>
      <c r="H226" s="65"/>
      <c r="I226" s="57"/>
      <c r="J226" s="67"/>
      <c r="K226" s="67"/>
      <c r="L226" s="67"/>
      <c r="M226" s="94"/>
      <c r="N226" s="94"/>
      <c r="O226" s="94"/>
      <c r="P226" s="94"/>
      <c r="Q226" s="95"/>
      <c r="R226" s="77"/>
      <c r="S226" s="77"/>
      <c r="T226" s="94"/>
      <c r="U226" s="96"/>
      <c r="V226" s="50"/>
      <c r="W226" s="150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</row>
    <row r="227" spans="1:42" ht="65.25" customHeight="1">
      <c r="A227" s="36">
        <v>169</v>
      </c>
      <c r="B227" s="151" t="s">
        <v>208</v>
      </c>
      <c r="C227" s="65"/>
      <c r="D227" s="93"/>
      <c r="E227" s="67"/>
      <c r="F227" s="67"/>
      <c r="G227" s="67"/>
      <c r="H227" s="65">
        <v>12.1</v>
      </c>
      <c r="I227" s="57"/>
      <c r="J227" s="67">
        <f>161290.3+12234</f>
        <v>173524.3</v>
      </c>
      <c r="K227" s="67">
        <f>150000+11377.6</f>
        <v>161377.60000000001</v>
      </c>
      <c r="L227" s="67">
        <f>J227-K227</f>
        <v>12146.699999999983</v>
      </c>
      <c r="M227" s="94"/>
      <c r="N227" s="94"/>
      <c r="O227" s="94"/>
      <c r="P227" s="94"/>
      <c r="Q227" s="95"/>
      <c r="R227" s="77"/>
      <c r="S227" s="77"/>
      <c r="T227" s="94"/>
      <c r="U227" s="96"/>
      <c r="V227" s="50"/>
      <c r="W227" s="150">
        <f>K227/J227*100</f>
        <v>93.000000576288173</v>
      </c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</row>
    <row r="228" spans="1:42" ht="30.75" customHeight="1">
      <c r="A228" s="63"/>
      <c r="B228" s="56" t="s">
        <v>156</v>
      </c>
      <c r="C228" s="57">
        <f>SUM(C229:C237)</f>
        <v>6.28</v>
      </c>
      <c r="D228" s="54"/>
      <c r="E228" s="57">
        <f>SUM(E229:E237)</f>
        <v>79802.3</v>
      </c>
      <c r="F228" s="57">
        <f>SUM(F229:F237)</f>
        <v>75812.199999999983</v>
      </c>
      <c r="G228" s="57">
        <f>SUM(G229:G237)</f>
        <v>3990.1000000000008</v>
      </c>
      <c r="H228" s="65"/>
      <c r="I228" s="57"/>
      <c r="J228" s="67"/>
      <c r="K228" s="67"/>
      <c r="L228" s="67"/>
      <c r="M228" s="57">
        <f>SUM(M238:M248)</f>
        <v>15.290000000000001</v>
      </c>
      <c r="N228" s="94"/>
      <c r="O228" s="57">
        <f>SUM(O238:O248)+0.05</f>
        <v>125922.59999999998</v>
      </c>
      <c r="P228" s="57">
        <f t="shared" ref="P228" si="32">SUM(P238:P248)</f>
        <v>119626.49949999998</v>
      </c>
      <c r="Q228" s="59">
        <f>SUM(Q238:Q248)+0.05</f>
        <v>6296.1005000000059</v>
      </c>
      <c r="R228" s="77"/>
      <c r="S228" s="77"/>
      <c r="T228" s="94"/>
      <c r="U228" s="96"/>
      <c r="V228" s="50"/>
      <c r="W228" s="150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</row>
    <row r="229" spans="1:42" ht="30" customHeight="1">
      <c r="A229" s="36">
        <v>170</v>
      </c>
      <c r="B229" s="64" t="s">
        <v>157</v>
      </c>
      <c r="C229" s="65">
        <v>0.99</v>
      </c>
      <c r="D229" s="66"/>
      <c r="E229" s="67">
        <v>6598.8067700000001</v>
      </c>
      <c r="F229" s="67">
        <f>E229*0.95</f>
        <v>6268.8664314999996</v>
      </c>
      <c r="G229" s="67">
        <f t="shared" ref="G229:G237" si="33">E229-F229</f>
        <v>329.94033850000051</v>
      </c>
      <c r="H229" s="65"/>
      <c r="I229" s="57"/>
      <c r="J229" s="67"/>
      <c r="K229" s="67"/>
      <c r="L229" s="67"/>
      <c r="M229" s="94"/>
      <c r="N229" s="94"/>
      <c r="O229" s="94"/>
      <c r="P229" s="94"/>
      <c r="Q229" s="95"/>
      <c r="R229" s="77"/>
      <c r="S229" s="77"/>
      <c r="T229" s="94"/>
      <c r="U229" s="96"/>
      <c r="V229" s="50"/>
      <c r="W229" s="150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</row>
    <row r="230" spans="1:42" ht="30" customHeight="1">
      <c r="A230" s="36">
        <v>171</v>
      </c>
      <c r="B230" s="64" t="s">
        <v>158</v>
      </c>
      <c r="C230" s="65">
        <v>0.53</v>
      </c>
      <c r="D230" s="66"/>
      <c r="E230" s="67">
        <v>3236.7590599999999</v>
      </c>
      <c r="F230" s="67">
        <f>E230*0.95</f>
        <v>3074.9211069999997</v>
      </c>
      <c r="G230" s="67">
        <f t="shared" si="33"/>
        <v>161.8379530000002</v>
      </c>
      <c r="H230" s="65"/>
      <c r="I230" s="57"/>
      <c r="J230" s="67"/>
      <c r="K230" s="67"/>
      <c r="L230" s="67"/>
      <c r="M230" s="94"/>
      <c r="N230" s="94"/>
      <c r="O230" s="94"/>
      <c r="P230" s="94"/>
      <c r="Q230" s="95"/>
      <c r="R230" s="77"/>
      <c r="S230" s="77"/>
      <c r="T230" s="94"/>
      <c r="U230" s="96"/>
      <c r="V230" s="50"/>
      <c r="W230" s="150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</row>
    <row r="231" spans="1:42" ht="30" customHeight="1">
      <c r="A231" s="63">
        <v>172</v>
      </c>
      <c r="B231" s="64" t="s">
        <v>159</v>
      </c>
      <c r="C231" s="65">
        <v>0.12</v>
      </c>
      <c r="D231" s="66"/>
      <c r="E231" s="67">
        <v>1582.6567299999999</v>
      </c>
      <c r="F231" s="67">
        <f>E231*0.95+0.015</f>
        <v>1503.5388934999999</v>
      </c>
      <c r="G231" s="67">
        <f t="shared" si="33"/>
        <v>79.117836500000067</v>
      </c>
      <c r="H231" s="65"/>
      <c r="I231" s="57"/>
      <c r="J231" s="67"/>
      <c r="K231" s="67"/>
      <c r="L231" s="67"/>
      <c r="M231" s="94"/>
      <c r="N231" s="94"/>
      <c r="O231" s="94"/>
      <c r="P231" s="94"/>
      <c r="Q231" s="95"/>
      <c r="R231" s="77"/>
      <c r="S231" s="77"/>
      <c r="T231" s="94"/>
      <c r="U231" s="96"/>
      <c r="V231" s="50"/>
      <c r="W231" s="150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</row>
    <row r="232" spans="1:42" ht="30" customHeight="1">
      <c r="A232" s="63">
        <v>173</v>
      </c>
      <c r="B232" s="64" t="s">
        <v>160</v>
      </c>
      <c r="C232" s="65">
        <v>0.34</v>
      </c>
      <c r="D232" s="66"/>
      <c r="E232" s="67">
        <v>3106.34049</v>
      </c>
      <c r="F232" s="67">
        <f t="shared" ref="F232:F237" si="34">E232*0.95</f>
        <v>2951.0234654999999</v>
      </c>
      <c r="G232" s="67">
        <f t="shared" si="33"/>
        <v>155.31702450000012</v>
      </c>
      <c r="H232" s="65"/>
      <c r="I232" s="57"/>
      <c r="J232" s="67"/>
      <c r="K232" s="67"/>
      <c r="L232" s="67"/>
      <c r="M232" s="94"/>
      <c r="N232" s="94"/>
      <c r="O232" s="94"/>
      <c r="P232" s="94"/>
      <c r="Q232" s="95"/>
      <c r="R232" s="77"/>
      <c r="S232" s="77"/>
      <c r="T232" s="94"/>
      <c r="U232" s="96"/>
      <c r="V232" s="50"/>
      <c r="W232" s="150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</row>
    <row r="233" spans="1:42" ht="30" customHeight="1">
      <c r="A233" s="36">
        <v>174</v>
      </c>
      <c r="B233" s="64" t="s">
        <v>161</v>
      </c>
      <c r="C233" s="65">
        <v>0.81</v>
      </c>
      <c r="D233" s="66"/>
      <c r="E233" s="67">
        <v>9468.4413399999994</v>
      </c>
      <c r="F233" s="67">
        <f t="shared" si="34"/>
        <v>8995.0192729999999</v>
      </c>
      <c r="G233" s="67">
        <f t="shared" si="33"/>
        <v>473.42206699999952</v>
      </c>
      <c r="H233" s="65"/>
      <c r="I233" s="57"/>
      <c r="J233" s="67"/>
      <c r="K233" s="67"/>
      <c r="L233" s="67"/>
      <c r="M233" s="94"/>
      <c r="N233" s="94"/>
      <c r="O233" s="94"/>
      <c r="P233" s="94"/>
      <c r="Q233" s="95"/>
      <c r="R233" s="77"/>
      <c r="S233" s="77"/>
      <c r="T233" s="94"/>
      <c r="U233" s="96"/>
      <c r="V233" s="50"/>
      <c r="W233" s="150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</row>
    <row r="234" spans="1:42" ht="30" customHeight="1">
      <c r="A234" s="36">
        <v>175</v>
      </c>
      <c r="B234" s="64" t="s">
        <v>162</v>
      </c>
      <c r="C234" s="65">
        <v>1.07</v>
      </c>
      <c r="D234" s="66"/>
      <c r="E234" s="67">
        <v>16883.914860000001</v>
      </c>
      <c r="F234" s="67">
        <f t="shared" si="34"/>
        <v>16039.719117000001</v>
      </c>
      <c r="G234" s="67">
        <f t="shared" si="33"/>
        <v>844.19574300000022</v>
      </c>
      <c r="H234" s="65"/>
      <c r="I234" s="57"/>
      <c r="J234" s="67"/>
      <c r="K234" s="67"/>
      <c r="L234" s="67"/>
      <c r="M234" s="94"/>
      <c r="N234" s="94"/>
      <c r="O234" s="94"/>
      <c r="P234" s="94"/>
      <c r="Q234" s="95"/>
      <c r="R234" s="77"/>
      <c r="S234" s="77"/>
      <c r="T234" s="94"/>
      <c r="U234" s="96"/>
      <c r="V234" s="50"/>
      <c r="W234" s="150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</row>
    <row r="235" spans="1:42" ht="30" customHeight="1">
      <c r="A235" s="36">
        <v>176</v>
      </c>
      <c r="B235" s="64" t="s">
        <v>250</v>
      </c>
      <c r="C235" s="65">
        <v>0.39</v>
      </c>
      <c r="D235" s="66"/>
      <c r="E235" s="67">
        <v>6316.1760800000002</v>
      </c>
      <c r="F235" s="67">
        <f t="shared" si="34"/>
        <v>6000.3672759999999</v>
      </c>
      <c r="G235" s="67">
        <f t="shared" si="33"/>
        <v>315.80880400000024</v>
      </c>
      <c r="H235" s="65"/>
      <c r="I235" s="57"/>
      <c r="J235" s="67"/>
      <c r="K235" s="67"/>
      <c r="L235" s="67"/>
      <c r="M235" s="94"/>
      <c r="N235" s="94"/>
      <c r="O235" s="94"/>
      <c r="P235" s="94"/>
      <c r="Q235" s="95"/>
      <c r="R235" s="77"/>
      <c r="S235" s="77"/>
      <c r="T235" s="94"/>
      <c r="U235" s="96"/>
      <c r="V235" s="50"/>
      <c r="W235" s="150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</row>
    <row r="236" spans="1:42" ht="30" customHeight="1">
      <c r="A236" s="63">
        <v>177</v>
      </c>
      <c r="B236" s="64" t="s">
        <v>163</v>
      </c>
      <c r="C236" s="65">
        <v>1.41</v>
      </c>
      <c r="D236" s="66"/>
      <c r="E236" s="67">
        <v>27708.08396</v>
      </c>
      <c r="F236" s="67">
        <f t="shared" si="34"/>
        <v>26322.679762</v>
      </c>
      <c r="G236" s="67">
        <f t="shared" si="33"/>
        <v>1385.4041980000002</v>
      </c>
      <c r="H236" s="65"/>
      <c r="I236" s="57"/>
      <c r="J236" s="67"/>
      <c r="K236" s="67"/>
      <c r="L236" s="67"/>
      <c r="M236" s="94"/>
      <c r="N236" s="94"/>
      <c r="O236" s="94"/>
      <c r="P236" s="94"/>
      <c r="Q236" s="95"/>
      <c r="R236" s="77"/>
      <c r="S236" s="77"/>
      <c r="T236" s="94"/>
      <c r="U236" s="96"/>
      <c r="V236" s="50"/>
      <c r="W236" s="150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</row>
    <row r="237" spans="1:42" ht="30" customHeight="1">
      <c r="A237" s="63">
        <v>178</v>
      </c>
      <c r="B237" s="64" t="s">
        <v>164</v>
      </c>
      <c r="C237" s="65">
        <v>0.62</v>
      </c>
      <c r="D237" s="66"/>
      <c r="E237" s="67">
        <v>4901.1207100000001</v>
      </c>
      <c r="F237" s="67">
        <f t="shared" si="34"/>
        <v>4656.0646745000004</v>
      </c>
      <c r="G237" s="67">
        <f t="shared" si="33"/>
        <v>245.05603549999978</v>
      </c>
      <c r="H237" s="65"/>
      <c r="I237" s="57"/>
      <c r="J237" s="67"/>
      <c r="K237" s="67"/>
      <c r="L237" s="67"/>
      <c r="M237" s="94"/>
      <c r="N237" s="94"/>
      <c r="O237" s="94"/>
      <c r="P237" s="94"/>
      <c r="Q237" s="95"/>
      <c r="R237" s="77"/>
      <c r="S237" s="77"/>
      <c r="T237" s="94"/>
      <c r="U237" s="96"/>
      <c r="V237" s="50"/>
      <c r="W237" s="150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</row>
    <row r="238" spans="1:42" ht="30" customHeight="1">
      <c r="A238" s="36">
        <v>179</v>
      </c>
      <c r="B238" s="78" t="s">
        <v>258</v>
      </c>
      <c r="C238" s="65"/>
      <c r="D238" s="66"/>
      <c r="E238" s="67"/>
      <c r="F238" s="67"/>
      <c r="G238" s="67"/>
      <c r="H238" s="65"/>
      <c r="I238" s="57"/>
      <c r="J238" s="67"/>
      <c r="K238" s="67"/>
      <c r="L238" s="67"/>
      <c r="M238" s="65">
        <v>0.9</v>
      </c>
      <c r="N238" s="66"/>
      <c r="O238" s="67">
        <v>18078.8</v>
      </c>
      <c r="P238" s="67">
        <f>O238*0.95</f>
        <v>17174.859999999997</v>
      </c>
      <c r="Q238" s="71">
        <f>O238-P238</f>
        <v>903.94000000000233</v>
      </c>
      <c r="R238" s="77"/>
      <c r="S238" s="77"/>
      <c r="T238" s="94"/>
      <c r="U238" s="96"/>
      <c r="V238" s="50"/>
      <c r="W238" s="150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</row>
    <row r="239" spans="1:42" ht="42" customHeight="1">
      <c r="A239" s="36">
        <v>180</v>
      </c>
      <c r="B239" s="107" t="s">
        <v>255</v>
      </c>
      <c r="C239" s="65"/>
      <c r="D239" s="66"/>
      <c r="E239" s="67"/>
      <c r="F239" s="67"/>
      <c r="G239" s="67"/>
      <c r="H239" s="65"/>
      <c r="I239" s="57"/>
      <c r="J239" s="67"/>
      <c r="K239" s="67"/>
      <c r="L239" s="67"/>
      <c r="M239" s="65">
        <v>1.8</v>
      </c>
      <c r="N239" s="94"/>
      <c r="O239" s="67">
        <v>31835.18</v>
      </c>
      <c r="P239" s="67">
        <f>O239*0.95</f>
        <v>30243.420999999998</v>
      </c>
      <c r="Q239" s="71">
        <f>O239-P239</f>
        <v>1591.7590000000018</v>
      </c>
      <c r="R239" s="77"/>
      <c r="S239" s="77"/>
      <c r="T239" s="94"/>
      <c r="U239" s="96"/>
      <c r="V239" s="50"/>
      <c r="W239" s="150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</row>
    <row r="240" spans="1:42" ht="27.95" customHeight="1">
      <c r="A240" s="36">
        <v>181</v>
      </c>
      <c r="B240" s="64" t="s">
        <v>159</v>
      </c>
      <c r="C240" s="65"/>
      <c r="D240" s="66"/>
      <c r="E240" s="67"/>
      <c r="F240" s="67"/>
      <c r="G240" s="67"/>
      <c r="H240" s="65"/>
      <c r="I240" s="57"/>
      <c r="J240" s="67"/>
      <c r="K240" s="67"/>
      <c r="L240" s="67"/>
      <c r="M240" s="65">
        <v>0.6</v>
      </c>
      <c r="N240" s="94"/>
      <c r="O240" s="67">
        <v>11667.32</v>
      </c>
      <c r="P240" s="67">
        <f>O240*0.95</f>
        <v>11083.954</v>
      </c>
      <c r="Q240" s="71">
        <f>O240-P240</f>
        <v>583.36599999999999</v>
      </c>
      <c r="R240" s="77"/>
      <c r="S240" s="77"/>
      <c r="T240" s="94"/>
      <c r="U240" s="96"/>
      <c r="V240" s="50"/>
      <c r="W240" s="150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</row>
    <row r="241" spans="1:42" ht="27.95" customHeight="1">
      <c r="A241" s="36">
        <v>182</v>
      </c>
      <c r="B241" s="78" t="s">
        <v>268</v>
      </c>
      <c r="C241" s="65"/>
      <c r="D241" s="66"/>
      <c r="E241" s="67"/>
      <c r="F241" s="67"/>
      <c r="G241" s="67"/>
      <c r="H241" s="65"/>
      <c r="I241" s="57"/>
      <c r="J241" s="67"/>
      <c r="K241" s="67"/>
      <c r="L241" s="67"/>
      <c r="M241" s="65">
        <v>1.6</v>
      </c>
      <c r="N241" s="94"/>
      <c r="O241" s="67">
        <v>6009</v>
      </c>
      <c r="P241" s="67">
        <f t="shared" ref="P241:P248" si="35">O241*0.95</f>
        <v>5708.55</v>
      </c>
      <c r="Q241" s="71">
        <f t="shared" ref="Q241:Q248" si="36">O241-P241</f>
        <v>300.44999999999982</v>
      </c>
      <c r="R241" s="77"/>
      <c r="S241" s="77"/>
      <c r="T241" s="94"/>
      <c r="U241" s="96"/>
      <c r="V241" s="50"/>
      <c r="W241" s="150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</row>
    <row r="242" spans="1:42" ht="27.95" customHeight="1">
      <c r="A242" s="36">
        <v>183</v>
      </c>
      <c r="B242" s="78" t="s">
        <v>251</v>
      </c>
      <c r="C242" s="65"/>
      <c r="D242" s="66"/>
      <c r="E242" s="67"/>
      <c r="F242" s="67"/>
      <c r="G242" s="67"/>
      <c r="H242" s="65"/>
      <c r="I242" s="57"/>
      <c r="J242" s="67"/>
      <c r="K242" s="67"/>
      <c r="L242" s="67"/>
      <c r="M242" s="65">
        <v>1</v>
      </c>
      <c r="N242" s="94"/>
      <c r="O242" s="67">
        <v>10623.98</v>
      </c>
      <c r="P242" s="67">
        <f>O242*0.95+0.077</f>
        <v>10092.857999999998</v>
      </c>
      <c r="Q242" s="71">
        <f t="shared" si="36"/>
        <v>531.12200000000121</v>
      </c>
      <c r="R242" s="77"/>
      <c r="S242" s="77"/>
      <c r="T242" s="94"/>
      <c r="U242" s="96"/>
      <c r="V242" s="50"/>
      <c r="W242" s="150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</row>
    <row r="243" spans="1:42" ht="27.95" customHeight="1">
      <c r="A243" s="36">
        <v>184</v>
      </c>
      <c r="B243" s="78" t="s">
        <v>252</v>
      </c>
      <c r="C243" s="65"/>
      <c r="D243" s="66"/>
      <c r="E243" s="67"/>
      <c r="F243" s="67"/>
      <c r="G243" s="67"/>
      <c r="H243" s="65"/>
      <c r="I243" s="57"/>
      <c r="J243" s="67"/>
      <c r="K243" s="67"/>
      <c r="L243" s="67"/>
      <c r="M243" s="65">
        <v>0.14000000000000001</v>
      </c>
      <c r="N243" s="94"/>
      <c r="O243" s="67">
        <v>1598.12</v>
      </c>
      <c r="P243" s="67">
        <f t="shared" si="35"/>
        <v>1518.2139999999997</v>
      </c>
      <c r="Q243" s="71">
        <f t="shared" si="36"/>
        <v>79.906000000000176</v>
      </c>
      <c r="R243" s="77"/>
      <c r="S243" s="77"/>
      <c r="T243" s="94"/>
      <c r="U243" s="96"/>
      <c r="V243" s="50"/>
      <c r="W243" s="150"/>
      <c r="X243" s="177" t="s">
        <v>35</v>
      </c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</row>
    <row r="244" spans="1:42" ht="27.95" customHeight="1">
      <c r="A244" s="36">
        <v>185</v>
      </c>
      <c r="B244" s="78" t="s">
        <v>269</v>
      </c>
      <c r="C244" s="65"/>
      <c r="D244" s="66"/>
      <c r="E244" s="67"/>
      <c r="F244" s="67"/>
      <c r="G244" s="67"/>
      <c r="H244" s="65"/>
      <c r="I244" s="57"/>
      <c r="J244" s="67"/>
      <c r="K244" s="67"/>
      <c r="L244" s="67"/>
      <c r="M244" s="65">
        <v>0.1</v>
      </c>
      <c r="N244" s="94"/>
      <c r="O244" s="67">
        <v>2187.0500000000002</v>
      </c>
      <c r="P244" s="67">
        <f t="shared" si="35"/>
        <v>2077.6975000000002</v>
      </c>
      <c r="Q244" s="71">
        <f t="shared" si="36"/>
        <v>109.35249999999996</v>
      </c>
      <c r="R244" s="77"/>
      <c r="S244" s="77"/>
      <c r="T244" s="94"/>
      <c r="U244" s="96"/>
      <c r="V244" s="50"/>
      <c r="W244" s="150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</row>
    <row r="245" spans="1:42" ht="27.95" customHeight="1">
      <c r="A245" s="36">
        <v>186</v>
      </c>
      <c r="B245" s="78" t="s">
        <v>256</v>
      </c>
      <c r="C245" s="65"/>
      <c r="D245" s="66"/>
      <c r="E245" s="67"/>
      <c r="F245" s="67"/>
      <c r="G245" s="67"/>
      <c r="H245" s="65"/>
      <c r="I245" s="57"/>
      <c r="J245" s="67"/>
      <c r="K245" s="67"/>
      <c r="L245" s="67"/>
      <c r="M245" s="65">
        <v>0.25</v>
      </c>
      <c r="N245" s="94"/>
      <c r="O245" s="67">
        <v>5205.0600000000004</v>
      </c>
      <c r="P245" s="67">
        <f t="shared" si="35"/>
        <v>4944.8069999999998</v>
      </c>
      <c r="Q245" s="71">
        <f t="shared" si="36"/>
        <v>260.25300000000061</v>
      </c>
      <c r="R245" s="77"/>
      <c r="S245" s="77"/>
      <c r="T245" s="94"/>
      <c r="U245" s="96"/>
      <c r="V245" s="50"/>
      <c r="W245" s="150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</row>
    <row r="246" spans="1:42" ht="27.95" customHeight="1">
      <c r="A246" s="36">
        <v>187</v>
      </c>
      <c r="B246" s="78" t="s">
        <v>253</v>
      </c>
      <c r="C246" s="65"/>
      <c r="D246" s="66"/>
      <c r="E246" s="67"/>
      <c r="F246" s="67"/>
      <c r="G246" s="67"/>
      <c r="H246" s="65"/>
      <c r="I246" s="57"/>
      <c r="J246" s="67"/>
      <c r="K246" s="67"/>
      <c r="L246" s="67"/>
      <c r="M246" s="65">
        <v>1.6</v>
      </c>
      <c r="N246" s="94"/>
      <c r="O246" s="67">
        <v>9375.68</v>
      </c>
      <c r="P246" s="67">
        <f t="shared" si="35"/>
        <v>8906.8960000000006</v>
      </c>
      <c r="Q246" s="71">
        <f t="shared" si="36"/>
        <v>468.78399999999965</v>
      </c>
      <c r="R246" s="77"/>
      <c r="S246" s="77"/>
      <c r="T246" s="94"/>
      <c r="U246" s="96"/>
      <c r="V246" s="50"/>
      <c r="W246" s="150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</row>
    <row r="247" spans="1:42" ht="30" customHeight="1">
      <c r="A247" s="36">
        <v>188</v>
      </c>
      <c r="B247" s="78" t="s">
        <v>257</v>
      </c>
      <c r="C247" s="65"/>
      <c r="D247" s="66"/>
      <c r="E247" s="67"/>
      <c r="F247" s="67"/>
      <c r="G247" s="67"/>
      <c r="H247" s="65"/>
      <c r="I247" s="57"/>
      <c r="J247" s="67"/>
      <c r="K247" s="67"/>
      <c r="L247" s="67"/>
      <c r="M247" s="65">
        <v>6</v>
      </c>
      <c r="N247" s="94"/>
      <c r="O247" s="67">
        <v>21724.66</v>
      </c>
      <c r="P247" s="67">
        <f t="shared" si="35"/>
        <v>20638.427</v>
      </c>
      <c r="Q247" s="71">
        <f t="shared" si="36"/>
        <v>1086.2330000000002</v>
      </c>
      <c r="R247" s="77"/>
      <c r="S247" s="77"/>
      <c r="T247" s="94"/>
      <c r="U247" s="96"/>
      <c r="V247" s="50"/>
      <c r="W247" s="150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</row>
    <row r="248" spans="1:42" ht="27.95" customHeight="1">
      <c r="A248" s="217">
        <v>189</v>
      </c>
      <c r="B248" s="78" t="s">
        <v>254</v>
      </c>
      <c r="C248" s="65"/>
      <c r="D248" s="66"/>
      <c r="E248" s="67"/>
      <c r="F248" s="67"/>
      <c r="G248" s="67"/>
      <c r="H248" s="65"/>
      <c r="I248" s="57"/>
      <c r="J248" s="67"/>
      <c r="K248" s="67"/>
      <c r="L248" s="67"/>
      <c r="M248" s="65">
        <v>1.3</v>
      </c>
      <c r="N248" s="94"/>
      <c r="O248" s="67">
        <v>7617.7</v>
      </c>
      <c r="P248" s="67">
        <f t="shared" si="35"/>
        <v>7236.8149999999996</v>
      </c>
      <c r="Q248" s="71">
        <f t="shared" si="36"/>
        <v>380.88500000000022</v>
      </c>
      <c r="R248" s="77"/>
      <c r="S248" s="77"/>
      <c r="T248" s="94"/>
      <c r="U248" s="96"/>
      <c r="V248" s="50"/>
      <c r="W248" s="150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</row>
    <row r="249" spans="1:42" ht="30" customHeight="1">
      <c r="A249" s="36"/>
      <c r="B249" s="56" t="s">
        <v>260</v>
      </c>
      <c r="C249" s="65"/>
      <c r="D249" s="66"/>
      <c r="E249" s="67"/>
      <c r="F249" s="67"/>
      <c r="G249" s="67"/>
      <c r="H249" s="65"/>
      <c r="I249" s="57"/>
      <c r="J249" s="67"/>
      <c r="K249" s="67"/>
      <c r="L249" s="67"/>
      <c r="M249" s="57">
        <f>M250</f>
        <v>16.216999999999999</v>
      </c>
      <c r="N249" s="121"/>
      <c r="O249" s="57">
        <f>O250</f>
        <v>216420.4</v>
      </c>
      <c r="P249" s="57">
        <f>P250</f>
        <v>203435.2</v>
      </c>
      <c r="Q249" s="59">
        <f>Q250</f>
        <v>12985.199999999983</v>
      </c>
      <c r="R249" s="77"/>
      <c r="S249" s="77"/>
      <c r="T249" s="94"/>
      <c r="U249" s="96"/>
      <c r="V249" s="50"/>
      <c r="W249" s="150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</row>
    <row r="250" spans="1:42" ht="45.75" customHeight="1">
      <c r="A250" s="36">
        <v>190</v>
      </c>
      <c r="B250" s="64" t="s">
        <v>261</v>
      </c>
      <c r="C250" s="65"/>
      <c r="D250" s="66"/>
      <c r="E250" s="67"/>
      <c r="F250" s="67"/>
      <c r="G250" s="67"/>
      <c r="H250" s="65"/>
      <c r="I250" s="57"/>
      <c r="J250" s="67"/>
      <c r="K250" s="67"/>
      <c r="L250" s="67"/>
      <c r="M250" s="65">
        <v>16.216999999999999</v>
      </c>
      <c r="N250" s="94"/>
      <c r="O250" s="67">
        <v>216420.4</v>
      </c>
      <c r="P250" s="67">
        <v>203435.2</v>
      </c>
      <c r="Q250" s="71">
        <f>O250-P250</f>
        <v>12985.199999999983</v>
      </c>
      <c r="R250" s="77"/>
      <c r="S250" s="77"/>
      <c r="T250" s="94"/>
      <c r="U250" s="96"/>
      <c r="V250" s="50"/>
      <c r="W250" s="150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</row>
    <row r="251" spans="1:42" ht="33.75" customHeight="1">
      <c r="A251" s="36"/>
      <c r="B251" s="83" t="s">
        <v>165</v>
      </c>
      <c r="C251" s="57">
        <f>SUM(C252:C260)</f>
        <v>4.9347000000000003</v>
      </c>
      <c r="D251" s="54"/>
      <c r="E251" s="57">
        <f>SUM(E252:E260)</f>
        <v>54038</v>
      </c>
      <c r="F251" s="57">
        <f>SUM(F252:F260)</f>
        <v>50795.700000000004</v>
      </c>
      <c r="G251" s="57">
        <f>SUM(G252:G260)</f>
        <v>3242.2999999999984</v>
      </c>
      <c r="H251" s="57"/>
      <c r="I251" s="57"/>
      <c r="J251" s="57"/>
      <c r="K251" s="57"/>
      <c r="L251" s="57"/>
      <c r="M251" s="57"/>
      <c r="N251" s="57"/>
      <c r="O251" s="57"/>
      <c r="P251" s="57"/>
      <c r="Q251" s="59"/>
      <c r="R251" s="60" t="e">
        <f>R253+#REF!</f>
        <v>#REF!</v>
      </c>
      <c r="S251" s="60"/>
      <c r="T251" s="57" t="e">
        <f>T253+#REF!</f>
        <v>#REF!</v>
      </c>
      <c r="U251" s="58" t="e">
        <f>U253+#REF!</f>
        <v>#REF!</v>
      </c>
      <c r="V251" s="59" t="e">
        <f>V253+#REF!</f>
        <v>#REF!</v>
      </c>
      <c r="W251" s="4"/>
      <c r="X251" s="4"/>
      <c r="Y251" s="4" t="s">
        <v>15</v>
      </c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</row>
    <row r="252" spans="1:42" ht="26.25" customHeight="1">
      <c r="A252" s="63">
        <v>191</v>
      </c>
      <c r="B252" s="107" t="s">
        <v>166</v>
      </c>
      <c r="C252" s="65">
        <v>0.78</v>
      </c>
      <c r="D252" s="54"/>
      <c r="E252" s="67">
        <v>12372.75</v>
      </c>
      <c r="F252" s="67">
        <v>11630.385</v>
      </c>
      <c r="G252" s="67">
        <f t="shared" ref="G252:G260" si="37">E252-F252</f>
        <v>742.36499999999978</v>
      </c>
      <c r="H252" s="57"/>
      <c r="I252" s="57"/>
      <c r="J252" s="57"/>
      <c r="K252" s="57"/>
      <c r="L252" s="57"/>
      <c r="M252" s="57"/>
      <c r="N252" s="57"/>
      <c r="O252" s="57"/>
      <c r="P252" s="57"/>
      <c r="Q252" s="59"/>
      <c r="R252" s="60"/>
      <c r="S252" s="60"/>
      <c r="T252" s="57"/>
      <c r="U252" s="58"/>
      <c r="V252" s="59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</row>
    <row r="253" spans="1:42" ht="26.25" customHeight="1">
      <c r="A253" s="63">
        <v>192</v>
      </c>
      <c r="B253" s="107" t="s">
        <v>167</v>
      </c>
      <c r="C253" s="65">
        <v>0.18</v>
      </c>
      <c r="D253" s="93"/>
      <c r="E253" s="67">
        <v>2612.3604</v>
      </c>
      <c r="F253" s="67">
        <v>2455.6187799999998</v>
      </c>
      <c r="G253" s="67">
        <f t="shared" si="37"/>
        <v>156.74162000000024</v>
      </c>
      <c r="H253" s="152"/>
      <c r="I253" s="57"/>
      <c r="J253" s="57"/>
      <c r="K253" s="57"/>
      <c r="L253" s="94"/>
      <c r="M253" s="94"/>
      <c r="N253" s="94"/>
      <c r="O253" s="94"/>
      <c r="P253" s="94"/>
      <c r="Q253" s="95"/>
      <c r="R253" s="118">
        <v>9.4879999999999995</v>
      </c>
      <c r="S253" s="153"/>
      <c r="T253" s="57">
        <v>132500</v>
      </c>
      <c r="U253" s="58">
        <f>T253</f>
        <v>132500</v>
      </c>
      <c r="V253" s="59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</row>
    <row r="254" spans="1:42" ht="27.75" customHeight="1">
      <c r="A254" s="63">
        <v>193</v>
      </c>
      <c r="B254" s="107" t="s">
        <v>168</v>
      </c>
      <c r="C254" s="65">
        <f>0.6504+0.22</f>
        <v>0.87039999999999995</v>
      </c>
      <c r="D254" s="93"/>
      <c r="E254" s="67">
        <v>17967.313999999998</v>
      </c>
      <c r="F254" s="67">
        <v>16889.275160000001</v>
      </c>
      <c r="G254" s="67">
        <f t="shared" si="37"/>
        <v>1078.0388399999974</v>
      </c>
      <c r="H254" s="152"/>
      <c r="I254" s="57"/>
      <c r="J254" s="57"/>
      <c r="K254" s="57"/>
      <c r="L254" s="94"/>
      <c r="M254" s="94"/>
      <c r="N254" s="94"/>
      <c r="O254" s="94"/>
      <c r="P254" s="94"/>
      <c r="Q254" s="95"/>
      <c r="R254" s="118"/>
      <c r="S254" s="153"/>
      <c r="T254" s="57"/>
      <c r="U254" s="58"/>
      <c r="V254" s="59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</row>
    <row r="255" spans="1:42" ht="30" customHeight="1">
      <c r="A255" s="63">
        <v>194</v>
      </c>
      <c r="B255" s="107" t="s">
        <v>169</v>
      </c>
      <c r="C255" s="65">
        <v>0.65</v>
      </c>
      <c r="D255" s="93"/>
      <c r="E255" s="67">
        <v>1850.4375</v>
      </c>
      <c r="F255" s="67">
        <v>1739.4112500000001</v>
      </c>
      <c r="G255" s="67">
        <f t="shared" si="37"/>
        <v>111.02624999999989</v>
      </c>
      <c r="H255" s="152"/>
      <c r="I255" s="57"/>
      <c r="J255" s="57"/>
      <c r="K255" s="57"/>
      <c r="L255" s="94"/>
      <c r="M255" s="94"/>
      <c r="N255" s="94"/>
      <c r="O255" s="94"/>
      <c r="P255" s="94"/>
      <c r="Q255" s="95"/>
      <c r="R255" s="118"/>
      <c r="S255" s="153"/>
      <c r="T255" s="57"/>
      <c r="U255" s="58"/>
      <c r="V255" s="59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</row>
    <row r="256" spans="1:42" ht="30" customHeight="1">
      <c r="A256" s="63">
        <v>195</v>
      </c>
      <c r="B256" s="107" t="s">
        <v>170</v>
      </c>
      <c r="C256" s="65">
        <v>0.85</v>
      </c>
      <c r="D256" s="93"/>
      <c r="E256" s="67">
        <v>4919.4498000000003</v>
      </c>
      <c r="F256" s="67">
        <v>4624.28</v>
      </c>
      <c r="G256" s="67">
        <f t="shared" si="37"/>
        <v>295.16980000000058</v>
      </c>
      <c r="H256" s="65"/>
      <c r="I256" s="57"/>
      <c r="J256" s="57"/>
      <c r="K256" s="57"/>
      <c r="L256" s="94"/>
      <c r="M256" s="94"/>
      <c r="N256" s="94"/>
      <c r="O256" s="94"/>
      <c r="P256" s="94"/>
      <c r="Q256" s="95"/>
      <c r="R256" s="118"/>
      <c r="S256" s="153"/>
      <c r="T256" s="57"/>
      <c r="U256" s="58"/>
      <c r="V256" s="59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</row>
    <row r="257" spans="1:42" ht="30" customHeight="1">
      <c r="A257" s="63">
        <v>196</v>
      </c>
      <c r="B257" s="107" t="s">
        <v>171</v>
      </c>
      <c r="C257" s="65">
        <v>0.11</v>
      </c>
      <c r="D257" s="93"/>
      <c r="E257" s="67">
        <v>1456.6504</v>
      </c>
      <c r="F257" s="67">
        <v>1369.2513799999999</v>
      </c>
      <c r="G257" s="67">
        <f t="shared" si="37"/>
        <v>87.399020000000064</v>
      </c>
      <c r="H257" s="65"/>
      <c r="I257" s="57"/>
      <c r="J257" s="57"/>
      <c r="K257" s="57"/>
      <c r="L257" s="94"/>
      <c r="M257" s="94"/>
      <c r="N257" s="94"/>
      <c r="O257" s="94"/>
      <c r="P257" s="94"/>
      <c r="Q257" s="95"/>
      <c r="R257" s="118"/>
      <c r="S257" s="153"/>
      <c r="T257" s="57"/>
      <c r="U257" s="58"/>
      <c r="V257" s="59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</row>
    <row r="258" spans="1:42" ht="30" customHeight="1">
      <c r="A258" s="63">
        <v>197</v>
      </c>
      <c r="B258" s="107" t="s">
        <v>172</v>
      </c>
      <c r="C258" s="65">
        <v>0.65</v>
      </c>
      <c r="D258" s="93"/>
      <c r="E258" s="67">
        <v>2832.2026000000001</v>
      </c>
      <c r="F258" s="67">
        <v>2662.2704399999998</v>
      </c>
      <c r="G258" s="67">
        <f t="shared" si="37"/>
        <v>169.93216000000029</v>
      </c>
      <c r="H258" s="65"/>
      <c r="I258" s="57"/>
      <c r="J258" s="57"/>
      <c r="K258" s="57"/>
      <c r="L258" s="94"/>
      <c r="M258" s="94"/>
      <c r="N258" s="94"/>
      <c r="O258" s="94"/>
      <c r="P258" s="94"/>
      <c r="Q258" s="95"/>
      <c r="R258" s="118"/>
      <c r="S258" s="153"/>
      <c r="T258" s="57"/>
      <c r="U258" s="58"/>
      <c r="V258" s="59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</row>
    <row r="259" spans="1:42" ht="39.75" customHeight="1">
      <c r="A259" s="63">
        <v>198</v>
      </c>
      <c r="B259" s="107" t="s">
        <v>173</v>
      </c>
      <c r="C259" s="65">
        <v>0.34129999999999999</v>
      </c>
      <c r="D259" s="93"/>
      <c r="E259" s="67">
        <f>2427.91296+0.12234</f>
        <v>2428.0353</v>
      </c>
      <c r="F259" s="67">
        <f>2282.23818+0.09504</f>
        <v>2282.33322</v>
      </c>
      <c r="G259" s="67">
        <f t="shared" si="37"/>
        <v>145.70208000000002</v>
      </c>
      <c r="H259" s="65"/>
      <c r="I259" s="57"/>
      <c r="J259" s="57"/>
      <c r="K259" s="57"/>
      <c r="L259" s="94"/>
      <c r="M259" s="94"/>
      <c r="N259" s="94"/>
      <c r="O259" s="94"/>
      <c r="P259" s="94"/>
      <c r="Q259" s="95"/>
      <c r="R259" s="118"/>
      <c r="S259" s="153"/>
      <c r="T259" s="57"/>
      <c r="U259" s="58"/>
      <c r="V259" s="59"/>
      <c r="W259" s="4"/>
      <c r="X259" s="4"/>
      <c r="Y259" s="4"/>
      <c r="Z259" s="4" t="s">
        <v>6</v>
      </c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</row>
    <row r="260" spans="1:42" ht="30" customHeight="1">
      <c r="A260" s="63">
        <v>199</v>
      </c>
      <c r="B260" s="107" t="s">
        <v>174</v>
      </c>
      <c r="C260" s="65">
        <v>0.503</v>
      </c>
      <c r="D260" s="93"/>
      <c r="E260" s="67">
        <v>7598.8</v>
      </c>
      <c r="F260" s="67">
        <v>7142.8747700000004</v>
      </c>
      <c r="G260" s="67">
        <f t="shared" si="37"/>
        <v>455.92522999999983</v>
      </c>
      <c r="H260" s="65"/>
      <c r="I260" s="57"/>
      <c r="J260" s="57"/>
      <c r="K260" s="57"/>
      <c r="L260" s="94"/>
      <c r="M260" s="94"/>
      <c r="N260" s="94"/>
      <c r="O260" s="94"/>
      <c r="P260" s="94"/>
      <c r="Q260" s="95"/>
      <c r="R260" s="118"/>
      <c r="S260" s="153"/>
      <c r="T260" s="57"/>
      <c r="U260" s="58"/>
      <c r="V260" s="59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</row>
    <row r="261" spans="1:42" ht="29.25" customHeight="1">
      <c r="A261" s="63"/>
      <c r="B261" s="56" t="s">
        <v>175</v>
      </c>
      <c r="C261" s="57">
        <f>C262+C264</f>
        <v>10.979999999999999</v>
      </c>
      <c r="D261" s="103"/>
      <c r="E261" s="57">
        <f>E262+E264</f>
        <v>497511.8</v>
      </c>
      <c r="F261" s="57">
        <f>F262+F264</f>
        <v>462685.97399999999</v>
      </c>
      <c r="G261" s="57">
        <f>G262+G264</f>
        <v>34825.826000000001</v>
      </c>
      <c r="H261" s="57">
        <f>SUM(H277:H278)</f>
        <v>0</v>
      </c>
      <c r="I261" s="57">
        <f>SUM(I277:I278)</f>
        <v>343</v>
      </c>
      <c r="J261" s="57">
        <f>SUM(J277:J278)</f>
        <v>408993.5</v>
      </c>
      <c r="K261" s="57">
        <f t="shared" ref="K261:L261" si="38">SUM(K277:K278)</f>
        <v>380364</v>
      </c>
      <c r="L261" s="57">
        <f t="shared" si="38"/>
        <v>28629.500000000022</v>
      </c>
      <c r="M261" s="57"/>
      <c r="N261" s="57">
        <f>N279</f>
        <v>260</v>
      </c>
      <c r="O261" s="57">
        <f>O279</f>
        <v>430107.5</v>
      </c>
      <c r="P261" s="57">
        <f>P279</f>
        <v>400000</v>
      </c>
      <c r="Q261" s="59">
        <f>Q279</f>
        <v>30107.5</v>
      </c>
      <c r="R261" s="60" t="e">
        <f>#REF!+#REF!+#REF!+#REF!</f>
        <v>#REF!</v>
      </c>
      <c r="S261" s="60"/>
      <c r="T261" s="54" t="e">
        <f>#REF!+#REF!+#REF!+#REF!</f>
        <v>#REF!</v>
      </c>
      <c r="U261" s="55" t="e">
        <f>#REF!+#REF!+#REF!+#REF!</f>
        <v>#REF!</v>
      </c>
      <c r="V261" s="117" t="e">
        <f>#REF!+#REF!+#REF!</f>
        <v>#REF!</v>
      </c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</row>
    <row r="262" spans="1:42" ht="42.75" customHeight="1">
      <c r="A262" s="63"/>
      <c r="B262" s="107" t="s">
        <v>270</v>
      </c>
      <c r="C262" s="67">
        <f>C263</f>
        <v>0.1</v>
      </c>
      <c r="D262" s="103"/>
      <c r="E262" s="67">
        <f>E263</f>
        <v>27508.920399999999</v>
      </c>
      <c r="F262" s="67">
        <f>F263</f>
        <v>25583.295979999999</v>
      </c>
      <c r="G262" s="67">
        <f>G263</f>
        <v>1925.6244200000001</v>
      </c>
      <c r="H262" s="57"/>
      <c r="I262" s="57"/>
      <c r="J262" s="57"/>
      <c r="K262" s="57"/>
      <c r="L262" s="57"/>
      <c r="M262" s="57"/>
      <c r="N262" s="57"/>
      <c r="O262" s="57"/>
      <c r="P262" s="57"/>
      <c r="Q262" s="59"/>
      <c r="R262" s="60"/>
      <c r="S262" s="60"/>
      <c r="T262" s="54"/>
      <c r="U262" s="55"/>
      <c r="V262" s="117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</row>
    <row r="263" spans="1:42" ht="44.25" customHeight="1">
      <c r="A263" s="63">
        <v>200</v>
      </c>
      <c r="B263" s="107" t="s">
        <v>176</v>
      </c>
      <c r="C263" s="65">
        <v>0.1</v>
      </c>
      <c r="D263" s="103"/>
      <c r="E263" s="67">
        <v>27508.920399999999</v>
      </c>
      <c r="F263" s="67">
        <v>25583.295979999999</v>
      </c>
      <c r="G263" s="67">
        <f>E263-F263</f>
        <v>1925.6244200000001</v>
      </c>
      <c r="H263" s="57"/>
      <c r="I263" s="57"/>
      <c r="J263" s="57"/>
      <c r="K263" s="57"/>
      <c r="L263" s="57"/>
      <c r="M263" s="57"/>
      <c r="N263" s="57"/>
      <c r="O263" s="57"/>
      <c r="P263" s="57"/>
      <c r="Q263" s="59"/>
      <c r="R263" s="60"/>
      <c r="S263" s="60"/>
      <c r="T263" s="54"/>
      <c r="U263" s="55"/>
      <c r="V263" s="117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</row>
    <row r="264" spans="1:42" ht="44.25" customHeight="1">
      <c r="A264" s="63"/>
      <c r="B264" s="107" t="s">
        <v>271</v>
      </c>
      <c r="C264" s="67">
        <f>0.1+10.78</f>
        <v>10.879999999999999</v>
      </c>
      <c r="D264" s="103"/>
      <c r="E264" s="67">
        <f>60000+437511.8-E263</f>
        <v>470002.87959999999</v>
      </c>
      <c r="F264" s="67">
        <f>462685.974-F263</f>
        <v>437102.67801999999</v>
      </c>
      <c r="G264" s="67">
        <f>34825.826-G263</f>
        <v>32900.201580000001</v>
      </c>
      <c r="H264" s="57"/>
      <c r="I264" s="57"/>
      <c r="J264" s="57"/>
      <c r="K264" s="57"/>
      <c r="L264" s="57"/>
      <c r="M264" s="57"/>
      <c r="N264" s="57"/>
      <c r="O264" s="57"/>
      <c r="P264" s="57"/>
      <c r="Q264" s="59"/>
      <c r="R264" s="60"/>
      <c r="S264" s="60"/>
      <c r="T264" s="54"/>
      <c r="U264" s="55"/>
      <c r="V264" s="117"/>
      <c r="W264" s="145">
        <f>F264-F265</f>
        <v>406885.97399999999</v>
      </c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</row>
    <row r="265" spans="1:42" ht="37.5" customHeight="1">
      <c r="A265" s="63">
        <v>201</v>
      </c>
      <c r="B265" s="107" t="s">
        <v>177</v>
      </c>
      <c r="C265" s="65">
        <v>0.1</v>
      </c>
      <c r="D265" s="103"/>
      <c r="E265" s="67">
        <v>32491.079600000001</v>
      </c>
      <c r="F265" s="67">
        <v>30216.704020000001</v>
      </c>
      <c r="G265" s="67">
        <f t="shared" ref="G265:G276" si="39">E265-F265</f>
        <v>2274.3755799999999</v>
      </c>
      <c r="H265" s="57"/>
      <c r="I265" s="57"/>
      <c r="J265" s="57"/>
      <c r="K265" s="57"/>
      <c r="L265" s="57"/>
      <c r="M265" s="57"/>
      <c r="N265" s="57"/>
      <c r="O265" s="57"/>
      <c r="P265" s="57"/>
      <c r="Q265" s="59"/>
      <c r="R265" s="60"/>
      <c r="S265" s="60"/>
      <c r="T265" s="54"/>
      <c r="U265" s="55"/>
      <c r="V265" s="117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</row>
    <row r="266" spans="1:42" ht="56.25" hidden="1">
      <c r="A266" s="63"/>
      <c r="B266" s="154" t="s">
        <v>178</v>
      </c>
      <c r="C266" s="155">
        <v>0.9</v>
      </c>
      <c r="D266" s="156"/>
      <c r="E266" s="157">
        <v>23377.7</v>
      </c>
      <c r="F266" s="157">
        <f t="shared" ref="F266:F276" si="40">E266*0.93</f>
        <v>21741.261000000002</v>
      </c>
      <c r="G266" s="157">
        <f t="shared" si="39"/>
        <v>1636.4389999999985</v>
      </c>
      <c r="H266" s="57"/>
      <c r="I266" s="57"/>
      <c r="J266" s="57"/>
      <c r="K266" s="57"/>
      <c r="L266" s="57"/>
      <c r="M266" s="57"/>
      <c r="N266" s="57"/>
      <c r="O266" s="57"/>
      <c r="P266" s="57"/>
      <c r="Q266" s="59"/>
      <c r="R266" s="60"/>
      <c r="S266" s="60"/>
      <c r="T266" s="54"/>
      <c r="U266" s="55"/>
      <c r="V266" s="117"/>
      <c r="W266" s="4"/>
      <c r="X266" s="4"/>
      <c r="Y266" s="4"/>
      <c r="Z266" s="4"/>
      <c r="AA266" s="4" t="s">
        <v>35</v>
      </c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</row>
    <row r="267" spans="1:42" ht="37.5" hidden="1">
      <c r="A267" s="158"/>
      <c r="B267" s="159" t="s">
        <v>179</v>
      </c>
      <c r="C267" s="160">
        <v>2.2999999999999998</v>
      </c>
      <c r="D267" s="161"/>
      <c r="E267" s="162">
        <v>98138.3</v>
      </c>
      <c r="F267" s="157">
        <f t="shared" si="40"/>
        <v>91268.619000000006</v>
      </c>
      <c r="G267" s="157">
        <f t="shared" si="39"/>
        <v>6869.6809999999969</v>
      </c>
      <c r="H267" s="163"/>
      <c r="I267" s="163"/>
      <c r="J267" s="163"/>
      <c r="K267" s="163"/>
      <c r="L267" s="163"/>
      <c r="M267" s="163"/>
      <c r="N267" s="163"/>
      <c r="O267" s="163"/>
      <c r="P267" s="163"/>
      <c r="Q267" s="164"/>
      <c r="R267" s="60"/>
      <c r="S267" s="60"/>
      <c r="T267" s="54"/>
      <c r="U267" s="55"/>
      <c r="V267" s="117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</row>
    <row r="268" spans="1:42" ht="37.5" hidden="1">
      <c r="A268" s="158"/>
      <c r="B268" s="159" t="s">
        <v>180</v>
      </c>
      <c r="C268" s="160">
        <v>0.3</v>
      </c>
      <c r="D268" s="161"/>
      <c r="E268" s="162">
        <v>50560</v>
      </c>
      <c r="F268" s="157">
        <f t="shared" si="40"/>
        <v>47020.800000000003</v>
      </c>
      <c r="G268" s="157">
        <f t="shared" si="39"/>
        <v>3539.1999999999971</v>
      </c>
      <c r="H268" s="163"/>
      <c r="I268" s="163"/>
      <c r="J268" s="163"/>
      <c r="K268" s="163"/>
      <c r="L268" s="163"/>
      <c r="M268" s="163"/>
      <c r="N268" s="163"/>
      <c r="O268" s="163"/>
      <c r="P268" s="163"/>
      <c r="Q268" s="164"/>
      <c r="R268" s="60"/>
      <c r="S268" s="60"/>
      <c r="T268" s="54"/>
      <c r="U268" s="55"/>
      <c r="V268" s="117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</row>
    <row r="269" spans="1:42" ht="37.5" hidden="1">
      <c r="A269" s="158"/>
      <c r="B269" s="159" t="s">
        <v>181</v>
      </c>
      <c r="C269" s="160">
        <v>0.23</v>
      </c>
      <c r="D269" s="161"/>
      <c r="E269" s="162">
        <v>20873</v>
      </c>
      <c r="F269" s="157">
        <f t="shared" si="40"/>
        <v>19411.89</v>
      </c>
      <c r="G269" s="157">
        <f t="shared" si="39"/>
        <v>1461.1100000000006</v>
      </c>
      <c r="H269" s="163"/>
      <c r="I269" s="163"/>
      <c r="J269" s="163"/>
      <c r="K269" s="163"/>
      <c r="L269" s="163"/>
      <c r="M269" s="163"/>
      <c r="N269" s="163"/>
      <c r="O269" s="163"/>
      <c r="P269" s="163"/>
      <c r="Q269" s="164"/>
      <c r="R269" s="60"/>
      <c r="S269" s="60"/>
      <c r="T269" s="54"/>
      <c r="U269" s="55"/>
      <c r="V269" s="117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</row>
    <row r="270" spans="1:42" ht="37.5" hidden="1">
      <c r="A270" s="158"/>
      <c r="B270" s="159" t="s">
        <v>182</v>
      </c>
      <c r="C270" s="160">
        <v>0.33</v>
      </c>
      <c r="D270" s="161"/>
      <c r="E270" s="162">
        <v>22015</v>
      </c>
      <c r="F270" s="157">
        <f t="shared" si="40"/>
        <v>20473.95</v>
      </c>
      <c r="G270" s="157">
        <f t="shared" si="39"/>
        <v>1541.0499999999993</v>
      </c>
      <c r="H270" s="163"/>
      <c r="I270" s="163"/>
      <c r="J270" s="163"/>
      <c r="K270" s="163"/>
      <c r="L270" s="163"/>
      <c r="M270" s="163"/>
      <c r="N270" s="163"/>
      <c r="O270" s="163"/>
      <c r="P270" s="163"/>
      <c r="Q270" s="164"/>
      <c r="R270" s="60"/>
      <c r="S270" s="60"/>
      <c r="T270" s="54"/>
      <c r="U270" s="55"/>
      <c r="V270" s="117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</row>
    <row r="271" spans="1:42" ht="25.5" hidden="1" customHeight="1">
      <c r="A271" s="158"/>
      <c r="B271" s="159" t="s">
        <v>183</v>
      </c>
      <c r="C271" s="160">
        <v>1.5</v>
      </c>
      <c r="D271" s="161"/>
      <c r="E271" s="162">
        <v>82408.399999999994</v>
      </c>
      <c r="F271" s="157">
        <f t="shared" si="40"/>
        <v>76639.812000000005</v>
      </c>
      <c r="G271" s="157">
        <f t="shared" si="39"/>
        <v>5768.5879999999888</v>
      </c>
      <c r="H271" s="163"/>
      <c r="I271" s="163"/>
      <c r="J271" s="163"/>
      <c r="K271" s="163"/>
      <c r="L271" s="163"/>
      <c r="M271" s="163"/>
      <c r="N271" s="163"/>
      <c r="O271" s="163"/>
      <c r="P271" s="163"/>
      <c r="Q271" s="164"/>
      <c r="R271" s="60"/>
      <c r="S271" s="60"/>
      <c r="T271" s="54"/>
      <c r="U271" s="55"/>
      <c r="V271" s="117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</row>
    <row r="272" spans="1:42" ht="37.5" hidden="1">
      <c r="A272" s="158"/>
      <c r="B272" s="159" t="s">
        <v>184</v>
      </c>
      <c r="C272" s="160">
        <v>0.8</v>
      </c>
      <c r="D272" s="161"/>
      <c r="E272" s="162">
        <v>48188.5</v>
      </c>
      <c r="F272" s="157">
        <f t="shared" si="40"/>
        <v>44815.305</v>
      </c>
      <c r="G272" s="157">
        <f t="shared" si="39"/>
        <v>3373.1949999999997</v>
      </c>
      <c r="H272" s="163"/>
      <c r="I272" s="163"/>
      <c r="J272" s="163"/>
      <c r="K272" s="163"/>
      <c r="L272" s="163"/>
      <c r="M272" s="163"/>
      <c r="N272" s="163"/>
      <c r="O272" s="163"/>
      <c r="P272" s="163"/>
      <c r="Q272" s="164"/>
      <c r="R272" s="60"/>
      <c r="S272" s="60"/>
      <c r="T272" s="54"/>
      <c r="U272" s="55"/>
      <c r="V272" s="117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</row>
    <row r="273" spans="1:42" ht="37.5" hidden="1">
      <c r="A273" s="158"/>
      <c r="B273" s="159" t="s">
        <v>185</v>
      </c>
      <c r="C273" s="160">
        <v>0.4</v>
      </c>
      <c r="D273" s="161"/>
      <c r="E273" s="162">
        <v>12686.6</v>
      </c>
      <c r="F273" s="157">
        <f t="shared" si="40"/>
        <v>11798.538</v>
      </c>
      <c r="G273" s="157">
        <f t="shared" si="39"/>
        <v>888.0619999999999</v>
      </c>
      <c r="H273" s="163"/>
      <c r="I273" s="163"/>
      <c r="J273" s="163"/>
      <c r="K273" s="163"/>
      <c r="L273" s="163"/>
      <c r="M273" s="163"/>
      <c r="N273" s="163"/>
      <c r="O273" s="163"/>
      <c r="P273" s="163"/>
      <c r="Q273" s="164"/>
      <c r="R273" s="60"/>
      <c r="S273" s="60"/>
      <c r="T273" s="54"/>
      <c r="U273" s="55"/>
      <c r="V273" s="117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</row>
    <row r="274" spans="1:42" ht="19.5" hidden="1">
      <c r="A274" s="158"/>
      <c r="B274" s="159" t="s">
        <v>186</v>
      </c>
      <c r="C274" s="160">
        <v>0.84</v>
      </c>
      <c r="D274" s="161"/>
      <c r="E274" s="162">
        <v>50597.9</v>
      </c>
      <c r="F274" s="157">
        <f t="shared" si="40"/>
        <v>47056.047000000006</v>
      </c>
      <c r="G274" s="157">
        <f t="shared" si="39"/>
        <v>3541.8529999999955</v>
      </c>
      <c r="H274" s="163"/>
      <c r="I274" s="163"/>
      <c r="J274" s="163"/>
      <c r="K274" s="163"/>
      <c r="L274" s="163"/>
      <c r="M274" s="163"/>
      <c r="N274" s="163"/>
      <c r="O274" s="163"/>
      <c r="P274" s="163"/>
      <c r="Q274" s="164"/>
      <c r="R274" s="60"/>
      <c r="S274" s="60"/>
      <c r="T274" s="54"/>
      <c r="U274" s="55"/>
      <c r="V274" s="117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</row>
    <row r="275" spans="1:42" ht="19.5" hidden="1">
      <c r="A275" s="158"/>
      <c r="B275" s="159" t="s">
        <v>187</v>
      </c>
      <c r="C275" s="160">
        <v>0.57999999999999996</v>
      </c>
      <c r="D275" s="161"/>
      <c r="E275" s="162">
        <v>24116.400000000001</v>
      </c>
      <c r="F275" s="157">
        <f t="shared" si="40"/>
        <v>22428.252000000004</v>
      </c>
      <c r="G275" s="157">
        <f t="shared" si="39"/>
        <v>1688.1479999999974</v>
      </c>
      <c r="H275" s="163"/>
      <c r="I275" s="163"/>
      <c r="J275" s="163"/>
      <c r="K275" s="163"/>
      <c r="L275" s="163"/>
      <c r="M275" s="163"/>
      <c r="N275" s="163"/>
      <c r="O275" s="163"/>
      <c r="P275" s="163"/>
      <c r="Q275" s="164"/>
      <c r="R275" s="60"/>
      <c r="S275" s="60"/>
      <c r="T275" s="54"/>
      <c r="U275" s="55"/>
      <c r="V275" s="117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</row>
    <row r="276" spans="1:42" ht="37.5" hidden="1">
      <c r="A276" s="165"/>
      <c r="B276" s="166" t="s">
        <v>188</v>
      </c>
      <c r="C276" s="155">
        <v>0.2</v>
      </c>
      <c r="D276" s="156"/>
      <c r="E276" s="157">
        <v>4550</v>
      </c>
      <c r="F276" s="157">
        <f t="shared" si="40"/>
        <v>4231.5</v>
      </c>
      <c r="G276" s="157">
        <f t="shared" si="39"/>
        <v>318.5</v>
      </c>
      <c r="H276" s="57"/>
      <c r="I276" s="57"/>
      <c r="J276" s="57"/>
      <c r="K276" s="57"/>
      <c r="L276" s="57"/>
      <c r="M276" s="57"/>
      <c r="N276" s="57"/>
      <c r="O276" s="57"/>
      <c r="P276" s="57"/>
      <c r="Q276" s="59"/>
      <c r="R276" s="60"/>
      <c r="S276" s="60"/>
      <c r="T276" s="54"/>
      <c r="U276" s="55"/>
      <c r="V276" s="117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</row>
    <row r="277" spans="1:42" ht="63.75" customHeight="1">
      <c r="A277" s="180">
        <v>202</v>
      </c>
      <c r="B277" s="181" t="s">
        <v>198</v>
      </c>
      <c r="C277" s="160"/>
      <c r="D277" s="161"/>
      <c r="E277" s="162"/>
      <c r="F277" s="162"/>
      <c r="G277" s="162"/>
      <c r="H277" s="163"/>
      <c r="I277" s="67">
        <v>343</v>
      </c>
      <c r="J277" s="67">
        <v>384634.4</v>
      </c>
      <c r="K277" s="67">
        <v>357710</v>
      </c>
      <c r="L277" s="182">
        <f>J277-K277</f>
        <v>26924.400000000023</v>
      </c>
      <c r="M277" s="163"/>
      <c r="N277" s="163"/>
      <c r="O277" s="163"/>
      <c r="P277" s="163"/>
      <c r="Q277" s="164"/>
      <c r="R277" s="60"/>
      <c r="S277" s="60"/>
      <c r="T277" s="54"/>
      <c r="U277" s="55"/>
      <c r="V277" s="117"/>
      <c r="W277" s="4"/>
      <c r="X277" s="4"/>
      <c r="Y277" s="4"/>
      <c r="Z277" s="4"/>
      <c r="AA277" s="186" t="s">
        <v>15</v>
      </c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</row>
    <row r="278" spans="1:42" ht="41.25" customHeight="1">
      <c r="A278" s="180">
        <v>203</v>
      </c>
      <c r="B278" s="181" t="s">
        <v>199</v>
      </c>
      <c r="C278" s="160"/>
      <c r="D278" s="161"/>
      <c r="E278" s="162"/>
      <c r="F278" s="162"/>
      <c r="G278" s="162"/>
      <c r="H278" s="183"/>
      <c r="I278" s="57"/>
      <c r="J278" s="67">
        <f>44359.1-20000</f>
        <v>24359.1</v>
      </c>
      <c r="K278" s="67">
        <f>41254-18600</f>
        <v>22654</v>
      </c>
      <c r="L278" s="182">
        <f>J278-K278</f>
        <v>1705.0999999999985</v>
      </c>
      <c r="M278" s="163"/>
      <c r="N278" s="163"/>
      <c r="O278" s="163"/>
      <c r="P278" s="163"/>
      <c r="Q278" s="164"/>
      <c r="R278" s="60"/>
      <c r="S278" s="60"/>
      <c r="T278" s="54"/>
      <c r="U278" s="55"/>
      <c r="V278" s="117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</row>
    <row r="279" spans="1:42" ht="51" customHeight="1" thickBot="1">
      <c r="A279" s="167">
        <v>204</v>
      </c>
      <c r="B279" s="168" t="s">
        <v>200</v>
      </c>
      <c r="C279" s="169"/>
      <c r="D279" s="170"/>
      <c r="E279" s="171"/>
      <c r="F279" s="171"/>
      <c r="G279" s="171"/>
      <c r="H279" s="169"/>
      <c r="I279" s="171"/>
      <c r="J279" s="171"/>
      <c r="K279" s="171"/>
      <c r="L279" s="171"/>
      <c r="M279" s="172"/>
      <c r="N279" s="171">
        <v>260</v>
      </c>
      <c r="O279" s="171">
        <v>430107.5</v>
      </c>
      <c r="P279" s="171">
        <v>400000</v>
      </c>
      <c r="Q279" s="184">
        <f>O279-P279</f>
        <v>30107.5</v>
      </c>
      <c r="R279" s="60"/>
      <c r="S279" s="60"/>
      <c r="T279" s="54"/>
      <c r="U279" s="55"/>
      <c r="V279" s="117"/>
      <c r="W279" s="145">
        <v>730170.6</v>
      </c>
      <c r="X279" s="145">
        <f>W279-J279</f>
        <v>730170.6</v>
      </c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</row>
    <row r="280" spans="1:42" ht="21.75" customHeight="1"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</row>
    <row r="281" spans="1:42" ht="33.75" customHeight="1"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</row>
    <row r="282" spans="1:42" ht="36" customHeight="1">
      <c r="A282" s="238" t="s">
        <v>278</v>
      </c>
      <c r="B282" s="238"/>
      <c r="C282" s="238"/>
      <c r="D282" s="238"/>
      <c r="E282" s="238"/>
      <c r="F282" s="238"/>
      <c r="G282" s="222"/>
      <c r="H282" s="222"/>
      <c r="I282" s="222"/>
      <c r="J282" s="222"/>
      <c r="K282" s="222"/>
      <c r="L282" s="222"/>
      <c r="M282" s="222"/>
      <c r="N282" s="222"/>
      <c r="O282" s="237" t="s">
        <v>272</v>
      </c>
      <c r="P282" s="237"/>
      <c r="Q282" s="237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</row>
    <row r="283" spans="1:42" ht="15" customHeight="1">
      <c r="C283" s="4"/>
      <c r="D283" s="4"/>
      <c r="E283" s="173"/>
      <c r="F283" s="173"/>
      <c r="G283" s="173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</row>
    <row r="284" spans="1:42"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</row>
    <row r="285" spans="1:42"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</row>
    <row r="286" spans="1:42"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</row>
    <row r="287" spans="1:42"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</row>
    <row r="288" spans="1:42"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</row>
    <row r="289" spans="3:42"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</row>
    <row r="290" spans="3:42"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</row>
    <row r="291" spans="3:42"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</row>
    <row r="292" spans="3:42">
      <c r="G292" s="2" t="s">
        <v>87</v>
      </c>
    </row>
  </sheetData>
  <mergeCells count="26">
    <mergeCell ref="A9:Q9"/>
    <mergeCell ref="B10:Q10"/>
    <mergeCell ref="O282:Q282"/>
    <mergeCell ref="A282:F282"/>
    <mergeCell ref="M6:N6"/>
    <mergeCell ref="O6:O7"/>
    <mergeCell ref="P6:Q6"/>
    <mergeCell ref="H6:I6"/>
    <mergeCell ref="J6:J7"/>
    <mergeCell ref="K6:L6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49" firstPageNumber="110" fitToHeight="10" orientation="landscape" useFirstPageNumber="1" horizontalDpi="300" verticalDpi="300" r:id="rId1"/>
  <headerFooter>
    <oddHeader>&amp;C&amp;"Times New Roman,обычный"&amp;14&amp;P</oddHeader>
  </headerFooter>
  <rowBreaks count="2" manualBreakCount="2">
    <brk id="28" max="21" man="1"/>
    <brk id="227" max="21" man="1"/>
  </rowBreaks>
  <colBreaks count="1" manualBreakCount="1">
    <brk id="17" max="2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09.06.25 уточ Валуйки и Прохор</vt:lpstr>
      <vt:lpstr>'09.06.25 уточ Валуйки и Прохор'!Заголовки_для_печати</vt:lpstr>
      <vt:lpstr>'09.06.25 уточ Валуйки и Прохор'!Область_печати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15</cp:revision>
  <cp:lastPrinted>2025-07-29T07:45:36Z</cp:lastPrinted>
  <dcterms:created xsi:type="dcterms:W3CDTF">2020-10-29T15:31:04Z</dcterms:created>
  <dcterms:modified xsi:type="dcterms:W3CDTF">2025-07-29T08:53:12Z</dcterms:modified>
  <dc:language>ru-RU</dc:language>
</cp:coreProperties>
</file>